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6.xml" ContentType="application/vnd.openxmlformats-officedocument.spreadsheetml.comment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11.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omments12.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defaultThemeVersion="124226"/>
  <workbookProtection workbookPassword="CC57" lockStructure="1"/>
  <bookViews>
    <workbookView xWindow="-15" yWindow="-15" windowWidth="9600" windowHeight="11205" tabRatio="883" firstSheet="1" activeTab="2"/>
  </bookViews>
  <sheets>
    <sheet name="Liste déroulante" sheetId="15" state="hidden" r:id="rId1"/>
    <sheet name="Présentation de l'outil" sheetId="12" r:id="rId2"/>
    <sheet name="A.1.Présentation structure" sheetId="6" r:id="rId3"/>
    <sheet name="2.Données qualitatives" sheetId="16" state="hidden" r:id="rId4"/>
    <sheet name="B.3.Comptes passés &amp; en cours" sheetId="10" r:id="rId5"/>
    <sheet name="C.4.Répartition effectifs" sheetId="23" r:id="rId6"/>
    <sheet name="5.Analyse des effectifs" sheetId="24" state="hidden" r:id="rId7"/>
    <sheet name="6.Détails activités passés" sheetId="31" state="hidden" r:id="rId8"/>
    <sheet name="7.Budgets prévisionnels" sheetId="26" state="hidden" r:id="rId9"/>
    <sheet name="8.Détails activités prév." sheetId="27" state="hidden" r:id="rId10"/>
    <sheet name="9.Plan d'investissement" sheetId="30" state="hidden" r:id="rId11"/>
    <sheet name="D.10.Synthèse éco&amp;fi" sheetId="19" state="hidden" r:id="rId12"/>
    <sheet name="D.10.Synthèse éco&amp;fi." sheetId="33" r:id="rId13"/>
    <sheet name="Sources schémas" sheetId="20" state="hidden" r:id="rId14"/>
    <sheet name="11.Synthèse par activité" sheetId="25" state="hidden" r:id="rId15"/>
    <sheet name="12.Plan de financement" sheetId="29" state="hidden" r:id="rId16"/>
    <sheet name="Technique" sheetId="32" state="hidden" r:id="rId17"/>
    <sheet name="Archétypes" sheetId="34" state="veryHidden" r:id="rId18"/>
  </sheets>
  <externalReferences>
    <externalReference r:id="rId19"/>
  </externalReferences>
  <definedNames>
    <definedName name="ChoixVer">'Présentation de l''outil'!$B$38:$B$39</definedName>
    <definedName name="ChoixVerC">'Présentation de l''outil'!$B$39</definedName>
    <definedName name="ChoixverS">'Présentation de l''outil'!$B$38</definedName>
    <definedName name="Liste_ans">Annees[Années]</definedName>
    <definedName name="Liste_DPT">DPT[Département]</definedName>
    <definedName name="Liste_Fusion">Fusion[Fusion]</definedName>
    <definedName name="Liste_Reseau">Reseau[Réseau]</definedName>
    <definedName name="Liste_Restruc">Restruct[Restructuration]</definedName>
    <definedName name="Masq_C7_2">'7.Budgets prévisionnels'!$Q:$R</definedName>
    <definedName name="Masq_C71">'7.Budgets prévisionnels'!$H:$I</definedName>
    <definedName name="Masq_L0_1">'Présentation de l''outil'!$A$45</definedName>
    <definedName name="Masq_L0_2">'Présentation de l''outil'!$A$48:$A$52</definedName>
    <definedName name="Masq_L0_3">'Présentation de l''outil'!$A$54:$A$55</definedName>
    <definedName name="Masq_L4_1">'C.4.Répartition effectifs'!$A$4:$A$29</definedName>
    <definedName name="Masq_L4_2">'C.4.Répartition effectifs'!$A$56:$A$80</definedName>
    <definedName name="Taux_TVA">'[1]Données générales'!$C$11</definedName>
    <definedName name="_xlnm.Print_Area" localSheetId="14">'11.Synthèse par activité'!$A$2:$V$90</definedName>
    <definedName name="_xlnm.Print_Area" localSheetId="15">'12.Plan de financement'!$A$1:$M$53</definedName>
    <definedName name="_xlnm.Print_Area" localSheetId="7">'6.Détails activités passés'!$A$1:$AE$50</definedName>
    <definedName name="_xlnm.Print_Area" localSheetId="8">'7.Budgets prévisionnels'!$A$1:$R$41</definedName>
    <definedName name="_xlnm.Print_Area" localSheetId="9">'8.Détails activités prév.'!$A$1:$AL$89</definedName>
    <definedName name="_xlnm.Print_Area" localSheetId="4">'B.3.Comptes passés &amp; en cours'!$A$1:$K$83</definedName>
    <definedName name="_xlnm.Print_Area" localSheetId="5">'C.4.Répartition effectifs'!$A$1:$N$79</definedName>
    <definedName name="_xlnm.Print_Area" localSheetId="11">'D.10.Synthèse éco&amp;fi'!$A$1:$P$75</definedName>
    <definedName name="_xlnm.Print_Area" localSheetId="12">'D.10.Synthèse éco&amp;fi.'!$A$1:$J$75</definedName>
    <definedName name="ZPW">Technique!$Z$1:$Z$1</definedName>
  </definedNames>
  <calcPr calcId="145621"/>
</workbook>
</file>

<file path=xl/calcChain.xml><?xml version="1.0" encoding="utf-8"?>
<calcChain xmlns="http://schemas.openxmlformats.org/spreadsheetml/2006/main">
  <c r="M26" i="19" l="1"/>
  <c r="L26" i="19"/>
  <c r="K26" i="19"/>
  <c r="T27" i="31"/>
  <c r="D52" i="6" l="1"/>
  <c r="D50" i="6"/>
  <c r="D48" i="6"/>
  <c r="D46" i="6"/>
  <c r="D44" i="6"/>
  <c r="D42" i="6"/>
  <c r="D40" i="6"/>
  <c r="D38" i="6"/>
  <c r="E76" i="10" l="1"/>
  <c r="E77" i="10"/>
  <c r="E75" i="10"/>
  <c r="E66" i="10"/>
  <c r="E67" i="10"/>
  <c r="E68" i="10"/>
  <c r="E69" i="10"/>
  <c r="E70" i="10"/>
  <c r="E71" i="10"/>
  <c r="E72" i="10"/>
  <c r="E73" i="10"/>
  <c r="E65" i="10"/>
  <c r="E61" i="10"/>
  <c r="E62" i="10"/>
  <c r="E63" i="10"/>
  <c r="E60" i="10"/>
  <c r="E51" i="10"/>
  <c r="E52" i="10"/>
  <c r="E53" i="10"/>
  <c r="E54" i="10"/>
  <c r="E55" i="10"/>
  <c r="E56" i="10"/>
  <c r="E57" i="10"/>
  <c r="E58" i="10"/>
  <c r="E50" i="10"/>
  <c r="AB12" i="27" l="1"/>
  <c r="AB11" i="27"/>
  <c r="G51" i="10" l="1"/>
  <c r="G50" i="10" l="1"/>
  <c r="I6" i="15" l="1"/>
  <c r="G5" i="15"/>
  <c r="G2" i="15"/>
  <c r="G4" i="15"/>
  <c r="G3" i="15"/>
  <c r="E3" i="15"/>
  <c r="E2" i="15"/>
  <c r="I5" i="15" l="1"/>
  <c r="I4" i="15"/>
  <c r="I3" i="15"/>
  <c r="A44" i="12" l="1"/>
  <c r="A53" i="12" s="1"/>
  <c r="A46" i="12" l="1"/>
  <c r="A47" i="12"/>
  <c r="B54" i="33"/>
  <c r="B51" i="33"/>
  <c r="B50" i="33"/>
  <c r="J49" i="33"/>
  <c r="I49" i="33" s="1"/>
  <c r="H49" i="33" s="1"/>
  <c r="E49" i="33"/>
  <c r="D49" i="33" s="1"/>
  <c r="C49" i="33" s="1"/>
  <c r="C29" i="33"/>
  <c r="J26" i="33"/>
  <c r="I26" i="33"/>
  <c r="H26" i="33"/>
  <c r="J22" i="33"/>
  <c r="I22" i="33" s="1"/>
  <c r="H22" i="33" s="1"/>
  <c r="E22" i="33"/>
  <c r="D22" i="33" s="1"/>
  <c r="C22" i="33" s="1"/>
  <c r="L79" i="23" l="1"/>
  <c r="K79" i="23"/>
  <c r="L66" i="23"/>
  <c r="K66" i="23"/>
  <c r="L53" i="23"/>
  <c r="K53" i="23"/>
  <c r="L40" i="23"/>
  <c r="K40" i="23"/>
  <c r="L27" i="23"/>
  <c r="K27" i="23"/>
  <c r="L14" i="23"/>
  <c r="K14" i="23"/>
  <c r="C79" i="23"/>
  <c r="C14" i="24" s="1"/>
  <c r="C66" i="23"/>
  <c r="C13" i="24" s="1"/>
  <c r="C53" i="23"/>
  <c r="C12" i="24" s="1"/>
  <c r="C40" i="23"/>
  <c r="C11" i="24" s="1"/>
  <c r="C27" i="23"/>
  <c r="C10" i="24" s="1"/>
  <c r="C14" i="23"/>
  <c r="C9" i="24" s="1"/>
  <c r="A36" i="6"/>
  <c r="J22" i="29" l="1"/>
  <c r="I22" i="29"/>
  <c r="H22" i="29"/>
  <c r="G83" i="10" l="1"/>
  <c r="G82" i="10"/>
  <c r="G81" i="10"/>
  <c r="E74" i="20"/>
  <c r="D74" i="20" s="1"/>
  <c r="C74" i="20" s="1"/>
  <c r="E94" i="25"/>
  <c r="E93" i="25"/>
  <c r="I50" i="29"/>
  <c r="F74" i="20" l="1"/>
  <c r="G74" i="20" s="1"/>
  <c r="H74" i="20" s="1"/>
  <c r="H162" i="20"/>
  <c r="G162" i="20"/>
  <c r="F163" i="20"/>
  <c r="F162" i="20"/>
  <c r="G158" i="20"/>
  <c r="H158" i="20"/>
  <c r="F158" i="20"/>
  <c r="D158" i="20"/>
  <c r="E158" i="20"/>
  <c r="D145" i="20"/>
  <c r="E145" i="20"/>
  <c r="D131" i="20"/>
  <c r="E131" i="20"/>
  <c r="D117" i="20"/>
  <c r="E117" i="20"/>
  <c r="D103" i="20"/>
  <c r="E103" i="20"/>
  <c r="C158" i="20"/>
  <c r="E160" i="20"/>
  <c r="D160" i="20" s="1"/>
  <c r="C160" i="20" s="1"/>
  <c r="E155" i="20"/>
  <c r="D155" i="20" s="1"/>
  <c r="C155" i="20" s="1"/>
  <c r="E162" i="20"/>
  <c r="D162" i="20"/>
  <c r="C162" i="20"/>
  <c r="E161" i="20"/>
  <c r="D161" i="20"/>
  <c r="C161" i="20"/>
  <c r="N76" i="27"/>
  <c r="N75" i="27"/>
  <c r="N73" i="27"/>
  <c r="N72" i="27"/>
  <c r="I76" i="27"/>
  <c r="L76" i="27" s="1"/>
  <c r="I75" i="27"/>
  <c r="L75" i="27" s="1"/>
  <c r="F77" i="27"/>
  <c r="N77" i="27" s="1"/>
  <c r="AK16" i="27"/>
  <c r="AK18" i="27"/>
  <c r="AK20" i="27"/>
  <c r="AK24" i="27"/>
  <c r="AK29" i="27"/>
  <c r="AK30" i="27"/>
  <c r="AK33" i="27"/>
  <c r="AK34" i="27"/>
  <c r="AI16" i="27"/>
  <c r="AI18" i="27"/>
  <c r="AI20" i="27"/>
  <c r="AI24" i="27"/>
  <c r="AI29" i="27"/>
  <c r="AI30" i="27"/>
  <c r="AI33" i="27"/>
  <c r="AI34" i="27"/>
  <c r="AG16" i="27"/>
  <c r="AG18" i="27"/>
  <c r="AG20" i="27"/>
  <c r="AG24" i="27"/>
  <c r="AG29" i="27"/>
  <c r="AG30" i="27"/>
  <c r="AG33" i="27"/>
  <c r="AG34" i="27"/>
  <c r="AL9" i="27"/>
  <c r="AJ9" i="27"/>
  <c r="AH9" i="27"/>
  <c r="AK9" i="27"/>
  <c r="AI9" i="27"/>
  <c r="AG9" i="27"/>
  <c r="Y14" i="27"/>
  <c r="X34" i="27"/>
  <c r="X33" i="27"/>
  <c r="X30" i="27"/>
  <c r="X29" i="27"/>
  <c r="X24" i="27"/>
  <c r="X20" i="27"/>
  <c r="X18" i="27"/>
  <c r="X16" i="27"/>
  <c r="X9" i="27"/>
  <c r="AA8" i="27"/>
  <c r="Z8" i="27"/>
  <c r="Y8" i="27"/>
  <c r="AE44" i="31"/>
  <c r="AC44" i="31"/>
  <c r="AA44" i="31"/>
  <c r="AE40" i="31"/>
  <c r="AC40" i="31"/>
  <c r="AA40" i="31"/>
  <c r="AE34" i="31"/>
  <c r="AC34" i="31"/>
  <c r="R14" i="31"/>
  <c r="S14" i="31"/>
  <c r="T14" i="31"/>
  <c r="AE26" i="31"/>
  <c r="AE28" i="31"/>
  <c r="AE30" i="31"/>
  <c r="AE25" i="31"/>
  <c r="AC26" i="31"/>
  <c r="AC28" i="31"/>
  <c r="AC30" i="31"/>
  <c r="AC25" i="31"/>
  <c r="AA28" i="31"/>
  <c r="AA30" i="31"/>
  <c r="AA26" i="31"/>
  <c r="AA25" i="31"/>
  <c r="AD26" i="31"/>
  <c r="AD28" i="31"/>
  <c r="AD30" i="31"/>
  <c r="AD34" i="31"/>
  <c r="AD39" i="31"/>
  <c r="AD40" i="31"/>
  <c r="AD43" i="31"/>
  <c r="AD44" i="31"/>
  <c r="AD25" i="31"/>
  <c r="AB26" i="31"/>
  <c r="AB28" i="31"/>
  <c r="AB30" i="31"/>
  <c r="AB34" i="31"/>
  <c r="AB39" i="31"/>
  <c r="AB40" i="31"/>
  <c r="AB43" i="31"/>
  <c r="AB44" i="31"/>
  <c r="AB25" i="31"/>
  <c r="Z26" i="31"/>
  <c r="Z28" i="31"/>
  <c r="Z30" i="31"/>
  <c r="Z34" i="31"/>
  <c r="Z39" i="31"/>
  <c r="Z40" i="31"/>
  <c r="Z43" i="31"/>
  <c r="Z44" i="31"/>
  <c r="Z25" i="31"/>
  <c r="AD12" i="31"/>
  <c r="AB12" i="31"/>
  <c r="Z12" i="31"/>
  <c r="AE9" i="31"/>
  <c r="AC9" i="31"/>
  <c r="AA9" i="31"/>
  <c r="AD9" i="31"/>
  <c r="AB9" i="31"/>
  <c r="Z9" i="31"/>
  <c r="R27" i="31"/>
  <c r="S27" i="31"/>
  <c r="X17" i="27"/>
  <c r="R29" i="31"/>
  <c r="S29" i="31"/>
  <c r="T29" i="31"/>
  <c r="X19" i="27" s="1"/>
  <c r="R31" i="31"/>
  <c r="S31" i="31"/>
  <c r="T31" i="31"/>
  <c r="X21" i="27" s="1"/>
  <c r="R32" i="31"/>
  <c r="S32" i="31"/>
  <c r="T32" i="31"/>
  <c r="X22" i="27" s="1"/>
  <c r="R35" i="31"/>
  <c r="S35" i="31"/>
  <c r="T35" i="31"/>
  <c r="X25" i="27" s="1"/>
  <c r="R36" i="31"/>
  <c r="S36" i="31"/>
  <c r="T36" i="31"/>
  <c r="X26" i="27" s="1"/>
  <c r="R38" i="31"/>
  <c r="R37" i="31" s="1"/>
  <c r="S38" i="31"/>
  <c r="S37" i="31" s="1"/>
  <c r="T38" i="31"/>
  <c r="T37" i="31" s="1"/>
  <c r="X27" i="27" s="1"/>
  <c r="R42" i="31"/>
  <c r="R41" i="31" s="1"/>
  <c r="S42" i="31"/>
  <c r="S41" i="31" s="1"/>
  <c r="T42" i="31"/>
  <c r="X32" i="27" s="1"/>
  <c r="R45" i="31"/>
  <c r="S45" i="31"/>
  <c r="T45" i="31"/>
  <c r="X35" i="27" s="1"/>
  <c r="R46" i="31"/>
  <c r="S46" i="31"/>
  <c r="T46" i="31"/>
  <c r="X36" i="27" s="1"/>
  <c r="D93" i="25"/>
  <c r="C93" i="25" s="1"/>
  <c r="M77" i="23"/>
  <c r="J77" i="23"/>
  <c r="H48" i="24" s="1"/>
  <c r="J64" i="23"/>
  <c r="G48" i="24" s="1"/>
  <c r="M64" i="23"/>
  <c r="J51" i="23"/>
  <c r="F48" i="24" s="1"/>
  <c r="M51" i="23"/>
  <c r="M38" i="23"/>
  <c r="J38" i="23"/>
  <c r="E48" i="24" s="1"/>
  <c r="M25" i="23"/>
  <c r="J25" i="23"/>
  <c r="D48" i="24" s="1"/>
  <c r="M12" i="23"/>
  <c r="J12" i="23"/>
  <c r="C48" i="24" s="1"/>
  <c r="I77" i="27" l="1"/>
  <c r="Z14" i="27" s="1"/>
  <c r="L77" i="27"/>
  <c r="AA14" i="27" s="1"/>
  <c r="C157" i="20"/>
  <c r="D156" i="20"/>
  <c r="D157" i="20"/>
  <c r="C156" i="20"/>
  <c r="E157" i="20"/>
  <c r="H97" i="25"/>
  <c r="H80" i="20"/>
  <c r="C80" i="20"/>
  <c r="C96" i="25"/>
  <c r="G97" i="25"/>
  <c r="G80" i="20"/>
  <c r="Q77" i="27"/>
  <c r="T41" i="31"/>
  <c r="T47" i="31" s="1"/>
  <c r="X37" i="27" s="1"/>
  <c r="T33" i="31"/>
  <c r="E80" i="20"/>
  <c r="X14" i="27"/>
  <c r="F80" i="20"/>
  <c r="F97" i="25"/>
  <c r="T77" i="27"/>
  <c r="S33" i="31"/>
  <c r="D80" i="20"/>
  <c r="D96" i="25"/>
  <c r="X28" i="27"/>
  <c r="F161" i="20"/>
  <c r="F155" i="20"/>
  <c r="G155" i="20" s="1"/>
  <c r="H155" i="20" s="1"/>
  <c r="F160" i="20"/>
  <c r="G160" i="20" s="1"/>
  <c r="H160" i="20" s="1"/>
  <c r="R33" i="31"/>
  <c r="R47" i="31"/>
  <c r="S47" i="31"/>
  <c r="F93" i="25"/>
  <c r="G93" i="25" s="1"/>
  <c r="H93" i="25" s="1"/>
  <c r="D97" i="25" l="1"/>
  <c r="S49" i="31"/>
  <c r="D94" i="25" s="1"/>
  <c r="T49" i="31"/>
  <c r="E95" i="25" s="1"/>
  <c r="X23" i="27"/>
  <c r="X39" i="27" s="1"/>
  <c r="E156" i="20"/>
  <c r="X31" i="27"/>
  <c r="C97" i="25"/>
  <c r="R49" i="31"/>
  <c r="C94" i="25" s="1"/>
  <c r="D95" i="25" l="1"/>
  <c r="E96" i="25"/>
  <c r="E97" i="25" s="1"/>
  <c r="C95" i="25"/>
  <c r="AC15" i="27"/>
  <c r="Q15" i="27"/>
  <c r="M15" i="27"/>
  <c r="I15" i="27"/>
  <c r="E15" i="27"/>
  <c r="E8" i="26"/>
  <c r="AH15" i="27" s="1"/>
  <c r="AG15" i="27" l="1"/>
  <c r="I87" i="27"/>
  <c r="I70" i="27"/>
  <c r="R15" i="27" s="1"/>
  <c r="I65" i="27"/>
  <c r="I60" i="27"/>
  <c r="I53" i="27"/>
  <c r="N87" i="27"/>
  <c r="N86" i="27"/>
  <c r="N70" i="27"/>
  <c r="N65" i="27"/>
  <c r="N60" i="27"/>
  <c r="N53" i="27"/>
  <c r="L87" i="27" l="1"/>
  <c r="AE15" i="27" s="1"/>
  <c r="AD15" i="27"/>
  <c r="N15" i="27"/>
  <c r="L60" i="27"/>
  <c r="O15" i="27" s="1"/>
  <c r="J15" i="27"/>
  <c r="F15" i="27"/>
  <c r="F8" i="26"/>
  <c r="AJ15" i="27" s="1"/>
  <c r="L53" i="27"/>
  <c r="L65" i="27"/>
  <c r="L70" i="27"/>
  <c r="S15" i="27" s="1"/>
  <c r="AI15" i="27" l="1"/>
  <c r="K15" i="27"/>
  <c r="G15" i="27"/>
  <c r="AK15" i="27" s="1"/>
  <c r="G8" i="26"/>
  <c r="H14" i="23"/>
  <c r="H27" i="23"/>
  <c r="H40" i="23"/>
  <c r="H53" i="23"/>
  <c r="H66" i="23"/>
  <c r="H79" i="23"/>
  <c r="AL15" i="27" l="1"/>
  <c r="C36" i="20"/>
  <c r="N79" i="27"/>
  <c r="N80" i="27"/>
  <c r="N81" i="27"/>
  <c r="N82" i="27"/>
  <c r="N83" i="27"/>
  <c r="N84" i="27"/>
  <c r="N85" i="27"/>
  <c r="N78" i="27"/>
  <c r="N69" i="27"/>
  <c r="N68" i="27"/>
  <c r="N67" i="27"/>
  <c r="N64" i="27"/>
  <c r="N63" i="27"/>
  <c r="N62" i="27"/>
  <c r="N59" i="27"/>
  <c r="N58" i="27"/>
  <c r="N57" i="27"/>
  <c r="N56" i="27"/>
  <c r="N55" i="27"/>
  <c r="N52" i="27" l="1"/>
  <c r="W14" i="31"/>
  <c r="E81" i="20" s="1"/>
  <c r="V14" i="31"/>
  <c r="D81" i="20" s="1"/>
  <c r="U14" i="31"/>
  <c r="C81" i="20" s="1"/>
  <c r="Q14" i="31"/>
  <c r="P14" i="31"/>
  <c r="D79" i="20" s="1"/>
  <c r="O14" i="31"/>
  <c r="C79" i="20" s="1"/>
  <c r="N14" i="31"/>
  <c r="M14" i="31"/>
  <c r="D78" i="20" s="1"/>
  <c r="L14" i="31"/>
  <c r="C78" i="20" s="1"/>
  <c r="K14" i="31"/>
  <c r="J14" i="31"/>
  <c r="D77" i="20" s="1"/>
  <c r="I14" i="31"/>
  <c r="C77" i="20" s="1"/>
  <c r="H14" i="31"/>
  <c r="G14" i="31"/>
  <c r="D76" i="20" s="1"/>
  <c r="F14" i="31"/>
  <c r="C76" i="20" s="1"/>
  <c r="E14" i="31"/>
  <c r="D14" i="31"/>
  <c r="C14" i="31"/>
  <c r="N51" i="27"/>
  <c r="N50" i="27"/>
  <c r="N49" i="27"/>
  <c r="N48" i="27"/>
  <c r="AK12" i="27"/>
  <c r="AI12" i="27"/>
  <c r="AG12" i="27"/>
  <c r="C75" i="20" l="1"/>
  <c r="AA14" i="31"/>
  <c r="Z14" i="31"/>
  <c r="E77" i="20"/>
  <c r="D75" i="20"/>
  <c r="AB14" i="31"/>
  <c r="AC14" i="31"/>
  <c r="E76" i="20"/>
  <c r="E75" i="20"/>
  <c r="AE14" i="31"/>
  <c r="AD14" i="31"/>
  <c r="E79" i="20"/>
  <c r="E78" i="20"/>
  <c r="AB16" i="27"/>
  <c r="AB18" i="27"/>
  <c r="AB20" i="27"/>
  <c r="AB24" i="27"/>
  <c r="AB29" i="27"/>
  <c r="AB30" i="27"/>
  <c r="AB33" i="27"/>
  <c r="AB34" i="27"/>
  <c r="AB15" i="27"/>
  <c r="AB14" i="27"/>
  <c r="AB9" i="27"/>
  <c r="T16" i="27"/>
  <c r="T18" i="27"/>
  <c r="T20" i="27"/>
  <c r="T24" i="27"/>
  <c r="T29" i="27"/>
  <c r="T30" i="27"/>
  <c r="T33" i="27"/>
  <c r="T34" i="27"/>
  <c r="T14" i="27"/>
  <c r="T9" i="27"/>
  <c r="P16" i="27"/>
  <c r="P18" i="27"/>
  <c r="P20" i="27"/>
  <c r="P24" i="27"/>
  <c r="P29" i="27"/>
  <c r="P30" i="27"/>
  <c r="P33" i="27"/>
  <c r="P34" i="27"/>
  <c r="P15" i="27"/>
  <c r="P14" i="27"/>
  <c r="P12" i="27"/>
  <c r="P11" i="27"/>
  <c r="P9" i="27"/>
  <c r="L16" i="27"/>
  <c r="L18" i="27"/>
  <c r="L20" i="27"/>
  <c r="L24" i="27"/>
  <c r="L29" i="27"/>
  <c r="L30" i="27"/>
  <c r="L33" i="27"/>
  <c r="L34" i="27"/>
  <c r="L15" i="27"/>
  <c r="L14" i="27"/>
  <c r="L12" i="27"/>
  <c r="L11" i="27"/>
  <c r="L9" i="27"/>
  <c r="H16" i="27"/>
  <c r="H18" i="27"/>
  <c r="H20" i="27"/>
  <c r="H24" i="27"/>
  <c r="H29" i="27"/>
  <c r="H30" i="27"/>
  <c r="H33" i="27"/>
  <c r="H34" i="27"/>
  <c r="H15" i="27"/>
  <c r="H14" i="27"/>
  <c r="H12" i="27"/>
  <c r="H11" i="27"/>
  <c r="H9" i="27"/>
  <c r="D16" i="27"/>
  <c r="D18" i="27"/>
  <c r="D20" i="27"/>
  <c r="D24" i="27"/>
  <c r="D29" i="27"/>
  <c r="D30" i="27"/>
  <c r="D33" i="27"/>
  <c r="D34" i="27"/>
  <c r="D15" i="27"/>
  <c r="D12" i="27"/>
  <c r="D11" i="27"/>
  <c r="D9" i="27"/>
  <c r="D150" i="20"/>
  <c r="E150" i="20"/>
  <c r="C150" i="20"/>
  <c r="D136" i="20"/>
  <c r="E136" i="20"/>
  <c r="C136" i="20"/>
  <c r="D122" i="20"/>
  <c r="E122" i="20"/>
  <c r="C122" i="20"/>
  <c r="D108" i="20"/>
  <c r="E108" i="20"/>
  <c r="C108" i="20"/>
  <c r="D94" i="20"/>
  <c r="E94" i="20"/>
  <c r="C94" i="20"/>
  <c r="D148" i="20"/>
  <c r="E148" i="20"/>
  <c r="D149" i="20"/>
  <c r="E149" i="20"/>
  <c r="C149" i="20"/>
  <c r="C148" i="20"/>
  <c r="D134" i="20"/>
  <c r="E134" i="20"/>
  <c r="D135" i="20"/>
  <c r="E135" i="20"/>
  <c r="C135" i="20"/>
  <c r="C134" i="20"/>
  <c r="D120" i="20"/>
  <c r="E120" i="20"/>
  <c r="D121" i="20"/>
  <c r="E121" i="20"/>
  <c r="C121" i="20"/>
  <c r="C120" i="20"/>
  <c r="D106" i="20"/>
  <c r="E106" i="20"/>
  <c r="D107" i="20"/>
  <c r="E107" i="20"/>
  <c r="C107" i="20"/>
  <c r="C106" i="20"/>
  <c r="D92" i="20"/>
  <c r="D93" i="20"/>
  <c r="E93" i="20"/>
  <c r="C93" i="20"/>
  <c r="C92" i="20"/>
  <c r="C145" i="20"/>
  <c r="C131" i="20"/>
  <c r="C117" i="20"/>
  <c r="C103" i="20"/>
  <c r="D89" i="20"/>
  <c r="E89" i="20"/>
  <c r="C89" i="20"/>
  <c r="G145" i="20"/>
  <c r="H145" i="20"/>
  <c r="F145" i="20"/>
  <c r="G131" i="20"/>
  <c r="H131" i="20"/>
  <c r="F131" i="20"/>
  <c r="G117" i="20"/>
  <c r="H117" i="20"/>
  <c r="F117" i="20"/>
  <c r="G103" i="20"/>
  <c r="H103" i="20"/>
  <c r="F103" i="20"/>
  <c r="G89" i="20"/>
  <c r="H89" i="20"/>
  <c r="F89" i="20"/>
  <c r="D88" i="25"/>
  <c r="C88" i="25"/>
  <c r="D87" i="25"/>
  <c r="E87" i="25"/>
  <c r="C87" i="25"/>
  <c r="D77" i="25"/>
  <c r="E77" i="25"/>
  <c r="C77" i="25"/>
  <c r="D65" i="25"/>
  <c r="E65" i="25"/>
  <c r="C65" i="25"/>
  <c r="D55" i="25"/>
  <c r="E55" i="25"/>
  <c r="C55" i="25"/>
  <c r="D46" i="25"/>
  <c r="C46" i="25"/>
  <c r="E11" i="25" l="1"/>
  <c r="D11" i="25"/>
  <c r="C11" i="25"/>
  <c r="I67" i="20"/>
  <c r="G67" i="20"/>
  <c r="E67" i="20"/>
  <c r="C67" i="20"/>
  <c r="I66" i="20"/>
  <c r="G66" i="20"/>
  <c r="E66" i="20"/>
  <c r="C66" i="20"/>
  <c r="I65" i="20"/>
  <c r="G65" i="20"/>
  <c r="E65" i="20"/>
  <c r="C65" i="20"/>
  <c r="W46" i="31" l="1"/>
  <c r="V46" i="31"/>
  <c r="U46" i="31"/>
  <c r="Q46" i="31"/>
  <c r="P46" i="31"/>
  <c r="O46" i="31"/>
  <c r="N46" i="31"/>
  <c r="M46" i="31"/>
  <c r="L46" i="31"/>
  <c r="K46" i="31"/>
  <c r="J46" i="31"/>
  <c r="I46" i="31"/>
  <c r="H46" i="31"/>
  <c r="G46" i="31"/>
  <c r="F46" i="31"/>
  <c r="E46" i="31"/>
  <c r="D46" i="31"/>
  <c r="C46" i="31"/>
  <c r="W45" i="31"/>
  <c r="V45" i="31"/>
  <c r="U45" i="31"/>
  <c r="Q45" i="31"/>
  <c r="T35" i="27" s="1"/>
  <c r="P45" i="31"/>
  <c r="O45" i="31"/>
  <c r="N45" i="31"/>
  <c r="P35" i="27" s="1"/>
  <c r="M45" i="31"/>
  <c r="L45" i="31"/>
  <c r="K45" i="31"/>
  <c r="L35" i="27" s="1"/>
  <c r="J45" i="31"/>
  <c r="I45" i="31"/>
  <c r="H45" i="31"/>
  <c r="H35" i="27" s="1"/>
  <c r="G45" i="31"/>
  <c r="F45" i="31"/>
  <c r="E45" i="31"/>
  <c r="D45" i="31"/>
  <c r="C45" i="31"/>
  <c r="W42" i="31"/>
  <c r="AB32" i="27" s="1"/>
  <c r="V42" i="31"/>
  <c r="V41" i="31" s="1"/>
  <c r="U42" i="31"/>
  <c r="U41" i="31" s="1"/>
  <c r="Q42" i="31"/>
  <c r="P42" i="31"/>
  <c r="D163" i="20" s="1"/>
  <c r="O42" i="31"/>
  <c r="N42" i="31"/>
  <c r="P32" i="27" s="1"/>
  <c r="M42" i="31"/>
  <c r="M41" i="31" s="1"/>
  <c r="L42" i="31"/>
  <c r="K42" i="31"/>
  <c r="L32" i="27" s="1"/>
  <c r="J42" i="31"/>
  <c r="J41" i="31" s="1"/>
  <c r="I42" i="31"/>
  <c r="I41" i="31" s="1"/>
  <c r="H42" i="31"/>
  <c r="H32" i="27" s="1"/>
  <c r="G42" i="31"/>
  <c r="F42" i="31"/>
  <c r="E42" i="31"/>
  <c r="D42" i="31"/>
  <c r="D41" i="31" s="1"/>
  <c r="C42" i="31"/>
  <c r="C41" i="31" s="1"/>
  <c r="L41" i="31"/>
  <c r="W38" i="31"/>
  <c r="AB28" i="27" s="1"/>
  <c r="V38" i="31"/>
  <c r="V37" i="31" s="1"/>
  <c r="U38" i="31"/>
  <c r="U37" i="31" s="1"/>
  <c r="Q38" i="31"/>
  <c r="T28" i="27" s="1"/>
  <c r="P38" i="31"/>
  <c r="P37" i="31" s="1"/>
  <c r="O38" i="31"/>
  <c r="O37" i="31" s="1"/>
  <c r="N38" i="31"/>
  <c r="P28" i="27" s="1"/>
  <c r="M38" i="31"/>
  <c r="M37" i="31" s="1"/>
  <c r="L38" i="31"/>
  <c r="L37" i="31" s="1"/>
  <c r="K38" i="31"/>
  <c r="L28" i="27" s="1"/>
  <c r="J38" i="31"/>
  <c r="J37" i="31" s="1"/>
  <c r="I38" i="31"/>
  <c r="I37" i="31" s="1"/>
  <c r="H38" i="31"/>
  <c r="H28" i="27" s="1"/>
  <c r="G38" i="31"/>
  <c r="F38" i="31"/>
  <c r="E38" i="31"/>
  <c r="D38" i="31"/>
  <c r="D37" i="31" s="1"/>
  <c r="C38" i="31"/>
  <c r="C37" i="31" s="1"/>
  <c r="W36" i="31"/>
  <c r="V36" i="31"/>
  <c r="U36" i="31"/>
  <c r="Q36" i="31"/>
  <c r="T26" i="27" s="1"/>
  <c r="P36" i="31"/>
  <c r="O36" i="31"/>
  <c r="N36" i="31"/>
  <c r="P26" i="27" s="1"/>
  <c r="M36" i="31"/>
  <c r="L36" i="31"/>
  <c r="K36" i="31"/>
  <c r="L26" i="27" s="1"/>
  <c r="J36" i="31"/>
  <c r="I36" i="31"/>
  <c r="H36" i="31"/>
  <c r="H26" i="27" s="1"/>
  <c r="G36" i="31"/>
  <c r="F36" i="31"/>
  <c r="E36" i="31"/>
  <c r="D36" i="31"/>
  <c r="C36" i="31"/>
  <c r="W35" i="31"/>
  <c r="V35" i="31"/>
  <c r="U35" i="31"/>
  <c r="Q35" i="31"/>
  <c r="P35" i="31"/>
  <c r="O35" i="31"/>
  <c r="N35" i="31"/>
  <c r="M35" i="31"/>
  <c r="L35" i="31"/>
  <c r="K35" i="31"/>
  <c r="J35" i="31"/>
  <c r="I35" i="31"/>
  <c r="H35" i="31"/>
  <c r="G35" i="31"/>
  <c r="F35" i="31"/>
  <c r="E35" i="31"/>
  <c r="D35" i="31"/>
  <c r="C35" i="31"/>
  <c r="W32" i="31"/>
  <c r="V32" i="31"/>
  <c r="U32" i="31"/>
  <c r="Q32" i="31"/>
  <c r="T22" i="27" s="1"/>
  <c r="P32" i="31"/>
  <c r="O32" i="31"/>
  <c r="N32" i="31"/>
  <c r="P22" i="27" s="1"/>
  <c r="M32" i="31"/>
  <c r="L32" i="31"/>
  <c r="K32" i="31"/>
  <c r="L22" i="27" s="1"/>
  <c r="J32" i="31"/>
  <c r="I32" i="31"/>
  <c r="H32" i="31"/>
  <c r="G32" i="31"/>
  <c r="F32" i="31"/>
  <c r="E32" i="31"/>
  <c r="D32" i="31"/>
  <c r="C32" i="31"/>
  <c r="W31" i="31"/>
  <c r="V31" i="31"/>
  <c r="U31" i="31"/>
  <c r="Q31" i="31"/>
  <c r="T21" i="27" s="1"/>
  <c r="P31" i="31"/>
  <c r="O31" i="31"/>
  <c r="N31" i="31"/>
  <c r="P21" i="27" s="1"/>
  <c r="M31" i="31"/>
  <c r="L31" i="31"/>
  <c r="K31" i="31"/>
  <c r="L21" i="27" s="1"/>
  <c r="J31" i="31"/>
  <c r="I31" i="31"/>
  <c r="H31" i="31"/>
  <c r="G31" i="31"/>
  <c r="F31" i="31"/>
  <c r="E31" i="31"/>
  <c r="D31" i="31"/>
  <c r="C31" i="31"/>
  <c r="W29" i="31"/>
  <c r="V29" i="31"/>
  <c r="U29" i="31"/>
  <c r="Q29" i="31"/>
  <c r="T19" i="27" s="1"/>
  <c r="P29" i="31"/>
  <c r="O29" i="31"/>
  <c r="N29" i="31"/>
  <c r="M29" i="31"/>
  <c r="L29" i="31"/>
  <c r="K29" i="31"/>
  <c r="L19" i="27" s="1"/>
  <c r="J29" i="31"/>
  <c r="I29" i="31"/>
  <c r="H29" i="31"/>
  <c r="H19" i="27" s="1"/>
  <c r="G29" i="31"/>
  <c r="F29" i="31"/>
  <c r="E29" i="31"/>
  <c r="D29" i="31"/>
  <c r="C29" i="31"/>
  <c r="W27" i="31"/>
  <c r="V27" i="31"/>
  <c r="U27" i="31"/>
  <c r="Q27" i="31"/>
  <c r="P27" i="31"/>
  <c r="O27" i="31"/>
  <c r="N27" i="31"/>
  <c r="M27" i="31"/>
  <c r="L27" i="31"/>
  <c r="K27" i="31"/>
  <c r="K33" i="31" s="1"/>
  <c r="J27" i="31"/>
  <c r="I27" i="31"/>
  <c r="H27" i="31"/>
  <c r="G27" i="31"/>
  <c r="F27" i="31"/>
  <c r="E27" i="31"/>
  <c r="D27" i="31"/>
  <c r="C27" i="31"/>
  <c r="J33" i="31" l="1"/>
  <c r="W41" i="31"/>
  <c r="K41" i="31"/>
  <c r="L31" i="27" s="1"/>
  <c r="E116" i="20"/>
  <c r="H41" i="31"/>
  <c r="H31" i="27" s="1"/>
  <c r="C129" i="20"/>
  <c r="D87" i="20"/>
  <c r="AA45" i="31"/>
  <c r="AB45" i="31"/>
  <c r="AE46" i="31"/>
  <c r="AB31" i="31"/>
  <c r="AA35" i="31"/>
  <c r="AB27" i="31"/>
  <c r="D33" i="31"/>
  <c r="H33" i="31"/>
  <c r="H23" i="27" s="1"/>
  <c r="C137" i="20"/>
  <c r="P33" i="31"/>
  <c r="E102" i="20"/>
  <c r="C87" i="20"/>
  <c r="AC31" i="31"/>
  <c r="C115" i="20"/>
  <c r="AC45" i="31"/>
  <c r="AD27" i="31"/>
  <c r="AD31" i="31"/>
  <c r="AD35" i="31"/>
  <c r="AE35" i="31"/>
  <c r="D130" i="20"/>
  <c r="E144" i="20"/>
  <c r="D115" i="20"/>
  <c r="O41" i="31"/>
  <c r="C164" i="20" s="1"/>
  <c r="C163" i="20"/>
  <c r="AE45" i="31"/>
  <c r="AA46" i="31"/>
  <c r="AB35" i="31"/>
  <c r="D102" i="20"/>
  <c r="T32" i="27"/>
  <c r="E163" i="20"/>
  <c r="AD38" i="31"/>
  <c r="D129" i="20"/>
  <c r="AC29" i="31"/>
  <c r="AC32" i="31"/>
  <c r="D116" i="20"/>
  <c r="E130" i="20"/>
  <c r="AC36" i="31"/>
  <c r="AC46" i="31"/>
  <c r="D151" i="20"/>
  <c r="AC27" i="31"/>
  <c r="D144" i="20"/>
  <c r="AC35" i="31"/>
  <c r="P41" i="31"/>
  <c r="D143" i="20" s="1"/>
  <c r="AB29" i="31"/>
  <c r="AB32" i="31"/>
  <c r="AB36" i="31"/>
  <c r="AB31" i="27"/>
  <c r="AB35" i="27"/>
  <c r="AB22" i="27"/>
  <c r="AE32" i="31"/>
  <c r="AB17" i="27"/>
  <c r="AE27" i="31"/>
  <c r="AB21" i="27"/>
  <c r="AE31" i="31"/>
  <c r="AD46" i="31"/>
  <c r="AB19" i="27"/>
  <c r="AE29" i="31"/>
  <c r="AB26" i="27"/>
  <c r="AE36" i="31"/>
  <c r="AD45" i="31"/>
  <c r="AD29" i="31"/>
  <c r="AD32" i="31"/>
  <c r="AD36" i="31"/>
  <c r="AB36" i="27"/>
  <c r="E41" i="31"/>
  <c r="D31" i="27" s="1"/>
  <c r="AD42" i="31"/>
  <c r="F37" i="31"/>
  <c r="Z38" i="31"/>
  <c r="F41" i="31"/>
  <c r="Z42" i="31"/>
  <c r="Z35" i="31"/>
  <c r="AA27" i="31"/>
  <c r="Z27" i="31"/>
  <c r="Z29" i="31"/>
  <c r="AA29" i="31"/>
  <c r="AA31" i="31"/>
  <c r="Z31" i="31"/>
  <c r="AA36" i="31"/>
  <c r="Z36" i="31"/>
  <c r="Z46" i="31"/>
  <c r="AA32" i="31"/>
  <c r="Z32" i="31"/>
  <c r="Z45" i="31"/>
  <c r="G37" i="31"/>
  <c r="AC37" i="31" s="1"/>
  <c r="AB38" i="31"/>
  <c r="G41" i="31"/>
  <c r="AB42" i="31"/>
  <c r="AB46" i="31"/>
  <c r="F33" i="31"/>
  <c r="U33" i="31"/>
  <c r="K37" i="31"/>
  <c r="W37" i="31"/>
  <c r="H37" i="31"/>
  <c r="E101" i="20" s="1"/>
  <c r="W33" i="31"/>
  <c r="AB23" i="27" s="1"/>
  <c r="N33" i="31"/>
  <c r="P23" i="27" s="1"/>
  <c r="C33" i="31"/>
  <c r="G33" i="31"/>
  <c r="O33" i="31"/>
  <c r="V33" i="31"/>
  <c r="N37" i="31"/>
  <c r="P27" i="27" s="1"/>
  <c r="N41" i="31"/>
  <c r="P31" i="27" s="1"/>
  <c r="L33" i="31"/>
  <c r="D123" i="20"/>
  <c r="C123" i="20"/>
  <c r="D137" i="20"/>
  <c r="V47" i="31"/>
  <c r="E95" i="20"/>
  <c r="D17" i="27"/>
  <c r="E151" i="20"/>
  <c r="T17" i="27"/>
  <c r="C88" i="20"/>
  <c r="C144" i="20"/>
  <c r="D28" i="27"/>
  <c r="D36" i="27"/>
  <c r="T36" i="27"/>
  <c r="C109" i="20"/>
  <c r="P17" i="27"/>
  <c r="E137" i="20"/>
  <c r="P19" i="27"/>
  <c r="H22" i="27"/>
  <c r="D47" i="31"/>
  <c r="D47" i="25" s="1"/>
  <c r="D88" i="20"/>
  <c r="H25" i="27"/>
  <c r="L47" i="31"/>
  <c r="C130" i="20"/>
  <c r="AB25" i="27"/>
  <c r="P36" i="27"/>
  <c r="L23" i="27"/>
  <c r="I33" i="31"/>
  <c r="M33" i="31"/>
  <c r="Q33" i="31"/>
  <c r="C95" i="20"/>
  <c r="D109" i="20"/>
  <c r="L17" i="27"/>
  <c r="E123" i="20"/>
  <c r="C151" i="20"/>
  <c r="D22" i="27"/>
  <c r="D25" i="27"/>
  <c r="E88" i="20"/>
  <c r="I47" i="31"/>
  <c r="C78" i="25" s="1"/>
  <c r="C116" i="20"/>
  <c r="M47" i="31"/>
  <c r="T25" i="27"/>
  <c r="E37" i="31"/>
  <c r="Q37" i="31"/>
  <c r="Q41" i="31"/>
  <c r="D35" i="27"/>
  <c r="L36" i="27"/>
  <c r="D19" i="27"/>
  <c r="D21" i="27"/>
  <c r="L25" i="27"/>
  <c r="D26" i="27"/>
  <c r="D32" i="27"/>
  <c r="D95" i="20"/>
  <c r="E109" i="20"/>
  <c r="H17" i="27"/>
  <c r="H21" i="27"/>
  <c r="C102" i="20"/>
  <c r="J47" i="31"/>
  <c r="D78" i="25" s="1"/>
  <c r="P25" i="27"/>
  <c r="U47" i="31"/>
  <c r="H36" i="27"/>
  <c r="E33" i="31"/>
  <c r="E92" i="20"/>
  <c r="E46" i="25"/>
  <c r="D14" i="27"/>
  <c r="C47" i="31"/>
  <c r="J72" i="23"/>
  <c r="J73" i="23"/>
  <c r="J74" i="23"/>
  <c r="J75" i="23"/>
  <c r="J76" i="23"/>
  <c r="J78" i="23"/>
  <c r="J71" i="23"/>
  <c r="J59" i="23"/>
  <c r="J60" i="23"/>
  <c r="J61" i="23"/>
  <c r="J62" i="23"/>
  <c r="J63" i="23"/>
  <c r="J65" i="23"/>
  <c r="J58" i="23"/>
  <c r="J46" i="23"/>
  <c r="J47" i="23"/>
  <c r="J48" i="23"/>
  <c r="J49" i="23"/>
  <c r="J50" i="23"/>
  <c r="J52" i="23"/>
  <c r="J45" i="23"/>
  <c r="J33" i="23"/>
  <c r="J34" i="23"/>
  <c r="J35" i="23"/>
  <c r="J36" i="23"/>
  <c r="J37" i="23"/>
  <c r="J39" i="23"/>
  <c r="J32" i="23"/>
  <c r="J20" i="23"/>
  <c r="J21" i="23"/>
  <c r="J22" i="23"/>
  <c r="J23" i="23"/>
  <c r="J24" i="23"/>
  <c r="J26" i="23"/>
  <c r="J19" i="23"/>
  <c r="G79" i="23"/>
  <c r="I79" i="23"/>
  <c r="G66" i="23"/>
  <c r="I66" i="23"/>
  <c r="G53" i="23"/>
  <c r="I53" i="23"/>
  <c r="G40" i="23"/>
  <c r="I40" i="23"/>
  <c r="G27" i="23"/>
  <c r="I27" i="23"/>
  <c r="G14" i="23"/>
  <c r="I14" i="23"/>
  <c r="J7" i="23"/>
  <c r="J8" i="23"/>
  <c r="J9" i="23"/>
  <c r="J10" i="23"/>
  <c r="J11" i="23"/>
  <c r="J13" i="23"/>
  <c r="J6" i="23"/>
  <c r="E115" i="20" l="1"/>
  <c r="D49" i="31"/>
  <c r="D44" i="25" s="1"/>
  <c r="O47" i="31"/>
  <c r="L49" i="31"/>
  <c r="C75" i="25" s="1"/>
  <c r="AB41" i="31"/>
  <c r="E143" i="20"/>
  <c r="AA41" i="31"/>
  <c r="H47" i="31"/>
  <c r="H37" i="27" s="1"/>
  <c r="E129" i="20"/>
  <c r="C143" i="20"/>
  <c r="C101" i="20"/>
  <c r="H27" i="27"/>
  <c r="AD41" i="31"/>
  <c r="AE41" i="31"/>
  <c r="AA37" i="31"/>
  <c r="AD37" i="31"/>
  <c r="AE37" i="31"/>
  <c r="E87" i="20"/>
  <c r="C47" i="25"/>
  <c r="U49" i="31"/>
  <c r="F47" i="31"/>
  <c r="T31" i="27"/>
  <c r="E164" i="20"/>
  <c r="D101" i="20"/>
  <c r="P47" i="31"/>
  <c r="D164" i="20"/>
  <c r="AC41" i="31"/>
  <c r="AB27" i="27"/>
  <c r="W47" i="31"/>
  <c r="AB33" i="31"/>
  <c r="AD33" i="31"/>
  <c r="Z41" i="31"/>
  <c r="Z33" i="31"/>
  <c r="Z37" i="31"/>
  <c r="G47" i="31"/>
  <c r="D66" i="25" s="1"/>
  <c r="AB37" i="31"/>
  <c r="L27" i="27"/>
  <c r="E47" i="31"/>
  <c r="E47" i="25" s="1"/>
  <c r="N47" i="31"/>
  <c r="P37" i="27" s="1"/>
  <c r="O49" i="31"/>
  <c r="C85" i="25" s="1"/>
  <c r="C86" i="25"/>
  <c r="K47" i="31"/>
  <c r="L37" i="27" s="1"/>
  <c r="V49" i="31"/>
  <c r="J49" i="31"/>
  <c r="D63" i="25" s="1"/>
  <c r="C66" i="25"/>
  <c r="C56" i="25"/>
  <c r="T23" i="27"/>
  <c r="E66" i="25"/>
  <c r="D45" i="25"/>
  <c r="T27" i="27"/>
  <c r="M49" i="31"/>
  <c r="D75" i="25" s="1"/>
  <c r="D27" i="27"/>
  <c r="Q47" i="31"/>
  <c r="I49" i="31"/>
  <c r="C63" i="25" s="1"/>
  <c r="C76" i="25"/>
  <c r="D23" i="27"/>
  <c r="C49" i="31"/>
  <c r="E49" i="31"/>
  <c r="E44" i="25" s="1"/>
  <c r="E37" i="10"/>
  <c r="D37" i="10"/>
  <c r="C37" i="10"/>
  <c r="E39" i="10"/>
  <c r="E38" i="10"/>
  <c r="D39" i="10"/>
  <c r="D38" i="10"/>
  <c r="C39" i="10"/>
  <c r="C38" i="10"/>
  <c r="Z47" i="31" l="1"/>
  <c r="F49" i="31"/>
  <c r="H49" i="31"/>
  <c r="E54" i="25" s="1"/>
  <c r="E56" i="25"/>
  <c r="D64" i="25"/>
  <c r="E78" i="25"/>
  <c r="K49" i="31"/>
  <c r="T37" i="27"/>
  <c r="E88" i="25"/>
  <c r="P49" i="31"/>
  <c r="AB37" i="27"/>
  <c r="W49" i="31"/>
  <c r="D56" i="25"/>
  <c r="D37" i="27"/>
  <c r="AD47" i="31"/>
  <c r="G49" i="31"/>
  <c r="AB47" i="31"/>
  <c r="N49" i="31"/>
  <c r="E75" i="25" s="1"/>
  <c r="D76" i="25"/>
  <c r="C64" i="25"/>
  <c r="E63" i="25"/>
  <c r="E64" i="25"/>
  <c r="C44" i="25"/>
  <c r="C45" i="25"/>
  <c r="Q49" i="31"/>
  <c r="C53" i="25"/>
  <c r="C54" i="25"/>
  <c r="E45" i="25"/>
  <c r="Z49" i="31"/>
  <c r="C29" i="19"/>
  <c r="H50" i="27"/>
  <c r="H51" i="27"/>
  <c r="H52" i="27"/>
  <c r="H56" i="27"/>
  <c r="E53" i="25" l="1"/>
  <c r="E76" i="25"/>
  <c r="D85" i="25"/>
  <c r="D86" i="25"/>
  <c r="AB49" i="31"/>
  <c r="E85" i="25"/>
  <c r="E86" i="25"/>
  <c r="D53" i="25"/>
  <c r="D54" i="25"/>
  <c r="AD49" i="31"/>
  <c r="H49" i="27"/>
  <c r="K49" i="27" s="1"/>
  <c r="K50" i="27"/>
  <c r="K51" i="27"/>
  <c r="K52" i="27"/>
  <c r="H79" i="27"/>
  <c r="K79" i="27" s="1"/>
  <c r="H80" i="27"/>
  <c r="K80" i="27" s="1"/>
  <c r="H81" i="27"/>
  <c r="K81" i="27" s="1"/>
  <c r="H82" i="27"/>
  <c r="K82" i="27" s="1"/>
  <c r="H83" i="27"/>
  <c r="K83" i="27" s="1"/>
  <c r="H84" i="27"/>
  <c r="K84" i="27" s="1"/>
  <c r="H85" i="27"/>
  <c r="K85" i="27" s="1"/>
  <c r="H86" i="27"/>
  <c r="K86" i="27" s="1"/>
  <c r="H78" i="27"/>
  <c r="K78" i="27" s="1"/>
  <c r="H68" i="27"/>
  <c r="H69" i="27"/>
  <c r="K69" i="27" s="1"/>
  <c r="H67" i="27"/>
  <c r="K67" i="27" s="1"/>
  <c r="H63" i="27"/>
  <c r="K63" i="27" s="1"/>
  <c r="H64" i="27"/>
  <c r="K64" i="27" s="1"/>
  <c r="H62" i="27"/>
  <c r="K62" i="27" s="1"/>
  <c r="K56" i="27"/>
  <c r="H57" i="27"/>
  <c r="K57" i="27" s="1"/>
  <c r="H58" i="27"/>
  <c r="K58" i="27" s="1"/>
  <c r="H59" i="27"/>
  <c r="K59" i="27" s="1"/>
  <c r="H55" i="27"/>
  <c r="K55" i="27" s="1"/>
  <c r="H48" i="27"/>
  <c r="K48" i="27" s="1"/>
  <c r="G79" i="27"/>
  <c r="G80" i="27"/>
  <c r="I80" i="27" s="1"/>
  <c r="G81" i="27"/>
  <c r="G82" i="27"/>
  <c r="J82" i="27" s="1"/>
  <c r="G83" i="27"/>
  <c r="G84" i="27"/>
  <c r="I84" i="27" s="1"/>
  <c r="G85" i="27"/>
  <c r="G86" i="27"/>
  <c r="G78" i="27"/>
  <c r="J78" i="27" s="1"/>
  <c r="G68" i="27"/>
  <c r="J68" i="27" s="1"/>
  <c r="G69" i="27"/>
  <c r="G67" i="27"/>
  <c r="J67" i="27" s="1"/>
  <c r="G63" i="27"/>
  <c r="J63" i="27" s="1"/>
  <c r="G64" i="27"/>
  <c r="J64" i="27" s="1"/>
  <c r="G62" i="27"/>
  <c r="J62" i="27" s="1"/>
  <c r="G56" i="27"/>
  <c r="J56" i="27" s="1"/>
  <c r="G57" i="27"/>
  <c r="G58" i="27"/>
  <c r="I58" i="27" s="1"/>
  <c r="G59" i="27"/>
  <c r="J59" i="27" s="1"/>
  <c r="G55" i="27"/>
  <c r="G49" i="27"/>
  <c r="J49" i="27" s="1"/>
  <c r="G50" i="27"/>
  <c r="G51" i="27"/>
  <c r="G52" i="27"/>
  <c r="J52" i="27" s="1"/>
  <c r="G48" i="27"/>
  <c r="J48" i="27" s="1"/>
  <c r="F79" i="27"/>
  <c r="F80" i="27"/>
  <c r="F81" i="27"/>
  <c r="F82" i="27"/>
  <c r="F83" i="27"/>
  <c r="Q83" i="27" s="1"/>
  <c r="F84" i="27"/>
  <c r="F85" i="27"/>
  <c r="F78" i="27"/>
  <c r="F68" i="27"/>
  <c r="F69" i="27"/>
  <c r="Q69" i="27" s="1"/>
  <c r="F67" i="27"/>
  <c r="F63" i="27"/>
  <c r="F64" i="27"/>
  <c r="Q64" i="27" s="1"/>
  <c r="F62" i="27"/>
  <c r="F56" i="27"/>
  <c r="Q56" i="27" s="1"/>
  <c r="F57" i="27"/>
  <c r="F58" i="27"/>
  <c r="Q58" i="27" s="1"/>
  <c r="F59" i="27"/>
  <c r="Q59" i="27" s="1"/>
  <c r="F55" i="27"/>
  <c r="F49" i="27"/>
  <c r="F50" i="27"/>
  <c r="F51" i="27"/>
  <c r="F52" i="27"/>
  <c r="Q52" i="27" s="1"/>
  <c r="F48" i="27"/>
  <c r="E88" i="27"/>
  <c r="E71" i="27"/>
  <c r="Q11" i="27" s="1"/>
  <c r="I68" i="20" s="1"/>
  <c r="G149" i="20"/>
  <c r="H149" i="20"/>
  <c r="G150" i="20"/>
  <c r="H150" i="20"/>
  <c r="F150" i="20"/>
  <c r="F149" i="20"/>
  <c r="H136" i="20"/>
  <c r="H135" i="20"/>
  <c r="G135" i="20"/>
  <c r="G136" i="20"/>
  <c r="F136" i="20"/>
  <c r="F135" i="20"/>
  <c r="H122" i="20"/>
  <c r="H121" i="20"/>
  <c r="G121" i="20"/>
  <c r="G122" i="20"/>
  <c r="F122" i="20"/>
  <c r="F121" i="20"/>
  <c r="G107" i="20"/>
  <c r="H107" i="20"/>
  <c r="G108" i="20"/>
  <c r="H108" i="20"/>
  <c r="F108" i="20"/>
  <c r="F107" i="20"/>
  <c r="G93" i="20"/>
  <c r="H93" i="20"/>
  <c r="G94" i="20"/>
  <c r="H94" i="20"/>
  <c r="F94" i="20"/>
  <c r="F93" i="20"/>
  <c r="Q84" i="27" l="1"/>
  <c r="Q80" i="27"/>
  <c r="L59" i="27"/>
  <c r="L62" i="27"/>
  <c r="I69" i="27"/>
  <c r="I85" i="27"/>
  <c r="I83" i="27"/>
  <c r="I81" i="27"/>
  <c r="Q78" i="27"/>
  <c r="L78" i="27"/>
  <c r="I78" i="27"/>
  <c r="T78" i="27" s="1"/>
  <c r="I62" i="27"/>
  <c r="T62" i="27" s="1"/>
  <c r="F54" i="27"/>
  <c r="Q82" i="27"/>
  <c r="I82" i="27"/>
  <c r="T82" i="27" s="1"/>
  <c r="Q62" i="27"/>
  <c r="F66" i="27"/>
  <c r="Q67" i="27"/>
  <c r="F71" i="27"/>
  <c r="Q85" i="27"/>
  <c r="Q81" i="27"/>
  <c r="I67" i="27"/>
  <c r="J86" i="27"/>
  <c r="Q86" i="27"/>
  <c r="I86" i="27"/>
  <c r="T86" i="27" s="1"/>
  <c r="J58" i="27"/>
  <c r="L58" i="27" s="1"/>
  <c r="Q55" i="27"/>
  <c r="F61" i="27"/>
  <c r="N61" i="27" s="1"/>
  <c r="I57" i="27"/>
  <c r="T67" i="27"/>
  <c r="L67" i="27"/>
  <c r="L64" i="27"/>
  <c r="L82" i="27"/>
  <c r="J85" i="27"/>
  <c r="L85" i="27" s="1"/>
  <c r="J81" i="27"/>
  <c r="L81" i="27" s="1"/>
  <c r="I72" i="27"/>
  <c r="L72" i="27" s="1"/>
  <c r="I55" i="27"/>
  <c r="I64" i="27"/>
  <c r="T64" i="27" s="1"/>
  <c r="J69" i="27"/>
  <c r="L69" i="27" s="1"/>
  <c r="J84" i="27"/>
  <c r="L84" i="27" s="1"/>
  <c r="J80" i="27"/>
  <c r="L80" i="27" s="1"/>
  <c r="I68" i="27"/>
  <c r="I59" i="27"/>
  <c r="T59" i="27" s="1"/>
  <c r="J83" i="27"/>
  <c r="L83" i="27" s="1"/>
  <c r="I73" i="27"/>
  <c r="L73" i="27" s="1"/>
  <c r="L52" i="27"/>
  <c r="L63" i="27"/>
  <c r="L66" i="27" s="1"/>
  <c r="O14" i="27" s="1"/>
  <c r="H77" i="20" s="1"/>
  <c r="I63" i="27"/>
  <c r="T63" i="27" s="1"/>
  <c r="Q63" i="27"/>
  <c r="I79" i="27"/>
  <c r="Q79" i="27"/>
  <c r="J79" i="27"/>
  <c r="L79" i="27" s="1"/>
  <c r="F88" i="27"/>
  <c r="Q68" i="27"/>
  <c r="L56" i="27"/>
  <c r="I56" i="27"/>
  <c r="T56" i="27" s="1"/>
  <c r="I51" i="27"/>
  <c r="J51" i="27"/>
  <c r="L51" i="27" s="1"/>
  <c r="I50" i="27"/>
  <c r="Q48" i="27"/>
  <c r="Q51" i="27"/>
  <c r="J50" i="27"/>
  <c r="L50" i="27" s="1"/>
  <c r="Q50" i="27"/>
  <c r="Q49" i="27"/>
  <c r="Q57" i="27"/>
  <c r="J57" i="27"/>
  <c r="L57" i="27" s="1"/>
  <c r="K68" i="27"/>
  <c r="L68" i="27" s="1"/>
  <c r="I49" i="27"/>
  <c r="T49" i="27" s="1"/>
  <c r="L49" i="27"/>
  <c r="L48" i="27"/>
  <c r="J55" i="27"/>
  <c r="L55" i="27" s="1"/>
  <c r="I52" i="27"/>
  <c r="T52" i="27" s="1"/>
  <c r="I48" i="27"/>
  <c r="E100" i="20"/>
  <c r="F100" i="20" s="1"/>
  <c r="G100" i="20" s="1"/>
  <c r="H100" i="20" s="1"/>
  <c r="E105" i="20"/>
  <c r="F105" i="20" s="1"/>
  <c r="G105" i="20" s="1"/>
  <c r="H105" i="20" s="1"/>
  <c r="E147" i="20"/>
  <c r="D147" i="20" s="1"/>
  <c r="C147" i="20" s="1"/>
  <c r="E142" i="20"/>
  <c r="D142" i="20" s="1"/>
  <c r="C142" i="20" s="1"/>
  <c r="E133" i="20"/>
  <c r="D133" i="20" s="1"/>
  <c r="C133" i="20" s="1"/>
  <c r="E128" i="20"/>
  <c r="D128" i="20" s="1"/>
  <c r="C128" i="20" s="1"/>
  <c r="E119" i="20"/>
  <c r="F119" i="20" s="1"/>
  <c r="G119" i="20" s="1"/>
  <c r="H119" i="20" s="1"/>
  <c r="E114" i="20"/>
  <c r="D114" i="20" s="1"/>
  <c r="C114" i="20" s="1"/>
  <c r="E91" i="20"/>
  <c r="D91" i="20" s="1"/>
  <c r="C91" i="20" s="1"/>
  <c r="E86" i="20"/>
  <c r="F86" i="20" s="1"/>
  <c r="G86" i="20" s="1"/>
  <c r="H86" i="20" s="1"/>
  <c r="T58" i="27" l="1"/>
  <c r="T80" i="27"/>
  <c r="L54" i="27"/>
  <c r="G14" i="27" s="1"/>
  <c r="H75" i="20" s="1"/>
  <c r="L61" i="27"/>
  <c r="AC14" i="27"/>
  <c r="F81" i="20" s="1"/>
  <c r="N88" i="27"/>
  <c r="L71" i="27"/>
  <c r="S14" i="27" s="1"/>
  <c r="H78" i="20" s="1"/>
  <c r="Q14" i="27"/>
  <c r="F78" i="20" s="1"/>
  <c r="N71" i="27"/>
  <c r="M14" i="27"/>
  <c r="F77" i="20" s="1"/>
  <c r="N66" i="27"/>
  <c r="N54" i="27"/>
  <c r="I61" i="27"/>
  <c r="I71" i="27"/>
  <c r="R14" i="27" s="1"/>
  <c r="G78" i="20" s="1"/>
  <c r="I66" i="27"/>
  <c r="N14" i="27" s="1"/>
  <c r="G77" i="20" s="1"/>
  <c r="T48" i="27"/>
  <c r="I54" i="27"/>
  <c r="T83" i="27"/>
  <c r="T84" i="27"/>
  <c r="T85" i="27"/>
  <c r="T69" i="27"/>
  <c r="T55" i="27"/>
  <c r="T57" i="27"/>
  <c r="T81" i="27"/>
  <c r="T79" i="27"/>
  <c r="T51" i="27"/>
  <c r="T68" i="27"/>
  <c r="T50" i="27"/>
  <c r="D105" i="20"/>
  <c r="C105" i="20" s="1"/>
  <c r="D100" i="20"/>
  <c r="C100" i="20" s="1"/>
  <c r="F128" i="20"/>
  <c r="G128" i="20" s="1"/>
  <c r="H128" i="20" s="1"/>
  <c r="F142" i="20"/>
  <c r="G142" i="20" s="1"/>
  <c r="H142" i="20" s="1"/>
  <c r="D119" i="20"/>
  <c r="C119" i="20" s="1"/>
  <c r="F147" i="20"/>
  <c r="G147" i="20" s="1"/>
  <c r="H147" i="20" s="1"/>
  <c r="F133" i="20"/>
  <c r="G133" i="20" s="1"/>
  <c r="H133" i="20" s="1"/>
  <c r="F114" i="20"/>
  <c r="G114" i="20" s="1"/>
  <c r="H114" i="20" s="1"/>
  <c r="D86" i="20"/>
  <c r="C86" i="20" s="1"/>
  <c r="F91" i="20"/>
  <c r="G91" i="20" s="1"/>
  <c r="H91" i="20" s="1"/>
  <c r="F14" i="27" l="1"/>
  <c r="G75" i="20" s="1"/>
  <c r="E57" i="20"/>
  <c r="H43" i="20"/>
  <c r="E56" i="20"/>
  <c r="H42" i="20"/>
  <c r="E55" i="20"/>
  <c r="E54" i="20"/>
  <c r="D57" i="20"/>
  <c r="F43" i="20"/>
  <c r="D56" i="20"/>
  <c r="F42" i="20"/>
  <c r="D55" i="20"/>
  <c r="F41" i="20"/>
  <c r="D54" i="20"/>
  <c r="C57" i="20"/>
  <c r="D43" i="20"/>
  <c r="C56" i="20"/>
  <c r="D42" i="20"/>
  <c r="C55" i="20"/>
  <c r="D41" i="20"/>
  <c r="C54" i="20"/>
  <c r="D40" i="20"/>
  <c r="E53" i="20"/>
  <c r="D53" i="20" s="1"/>
  <c r="C53" i="20" s="1"/>
  <c r="E51" i="20"/>
  <c r="G39" i="20"/>
  <c r="E50" i="20"/>
  <c r="G38" i="20"/>
  <c r="E49" i="20"/>
  <c r="G37" i="20"/>
  <c r="E48" i="20"/>
  <c r="D51" i="20"/>
  <c r="E39" i="20"/>
  <c r="D50" i="20"/>
  <c r="E38" i="20"/>
  <c r="D49" i="20"/>
  <c r="E37" i="20"/>
  <c r="D48" i="20"/>
  <c r="E36" i="20"/>
  <c r="C51" i="20"/>
  <c r="C50" i="20"/>
  <c r="C49" i="20"/>
  <c r="C48" i="20"/>
  <c r="E47" i="20"/>
  <c r="F47" i="20" s="1"/>
  <c r="G47" i="20" s="1"/>
  <c r="H47" i="20" s="1"/>
  <c r="D47" i="20" l="1"/>
  <c r="C47" i="20" s="1"/>
  <c r="F53" i="20"/>
  <c r="G53" i="20" s="1"/>
  <c r="H53" i="20" s="1"/>
  <c r="B45" i="16" l="1"/>
  <c r="B46" i="16" s="1"/>
  <c r="B44" i="16"/>
  <c r="F79" i="23"/>
  <c r="E79" i="23"/>
  <c r="D79" i="23"/>
  <c r="F66" i="23"/>
  <c r="E66" i="23"/>
  <c r="D66" i="23"/>
  <c r="F53" i="23"/>
  <c r="E53" i="23"/>
  <c r="D53" i="23"/>
  <c r="F40" i="23"/>
  <c r="E40" i="23"/>
  <c r="D40" i="23"/>
  <c r="F27" i="23"/>
  <c r="E27" i="23"/>
  <c r="D27" i="23"/>
  <c r="E14" i="23"/>
  <c r="F14" i="23"/>
  <c r="K50" i="29"/>
  <c r="J50" i="29"/>
  <c r="L40" i="29"/>
  <c r="L41" i="29" l="1"/>
  <c r="L42" i="29" s="1"/>
  <c r="I23" i="29" l="1"/>
  <c r="J23" i="29"/>
  <c r="H23" i="29"/>
  <c r="I20" i="29" l="1"/>
  <c r="J20" i="29"/>
  <c r="H20" i="29"/>
  <c r="J19" i="29"/>
  <c r="I19" i="29"/>
  <c r="H19" i="29"/>
  <c r="I40" i="29" l="1"/>
  <c r="I41" i="29" s="1"/>
  <c r="I42" i="29" s="1"/>
  <c r="J40" i="29"/>
  <c r="J41" i="29" s="1"/>
  <c r="J42" i="29" s="1"/>
  <c r="K40" i="29"/>
  <c r="G49" i="29"/>
  <c r="G48" i="29"/>
  <c r="G47" i="29"/>
  <c r="B74" i="25"/>
  <c r="B62" i="25"/>
  <c r="B52" i="25"/>
  <c r="B43" i="25"/>
  <c r="K41" i="29" l="1"/>
  <c r="K42" i="29" s="1"/>
  <c r="D35" i="30"/>
  <c r="D8" i="29" s="1"/>
  <c r="E35" i="30"/>
  <c r="E8" i="29" s="1"/>
  <c r="F8" i="30"/>
  <c r="F9" i="30"/>
  <c r="F10" i="30"/>
  <c r="F11" i="30"/>
  <c r="F7" i="30"/>
  <c r="J8" i="30" l="1"/>
  <c r="K8" i="30" s="1"/>
  <c r="J11" i="30"/>
  <c r="K11" i="30"/>
  <c r="J7" i="30"/>
  <c r="K7" i="30" s="1"/>
  <c r="J10" i="30"/>
  <c r="K10" i="30" s="1"/>
  <c r="J9" i="30"/>
  <c r="K9" i="30" s="1"/>
  <c r="L74" i="27"/>
  <c r="C35" i="30"/>
  <c r="C8" i="29" s="1"/>
  <c r="F30" i="30"/>
  <c r="F31" i="30"/>
  <c r="F32" i="30"/>
  <c r="F33" i="30"/>
  <c r="F29" i="30"/>
  <c r="E34" i="30"/>
  <c r="E7" i="29" s="1"/>
  <c r="D34" i="30"/>
  <c r="D7" i="29" s="1"/>
  <c r="C34" i="30"/>
  <c r="C7" i="29" s="1"/>
  <c r="F27" i="30"/>
  <c r="F26" i="30"/>
  <c r="F25" i="30"/>
  <c r="F24" i="30"/>
  <c r="F23" i="30"/>
  <c r="F22" i="30"/>
  <c r="F21" i="30"/>
  <c r="F20" i="30"/>
  <c r="F19" i="30"/>
  <c r="F18" i="30"/>
  <c r="F17" i="30"/>
  <c r="F16" i="30"/>
  <c r="F15" i="30"/>
  <c r="F14" i="30"/>
  <c r="F13" i="30"/>
  <c r="K26" i="30" l="1"/>
  <c r="J26" i="30"/>
  <c r="J25" i="30"/>
  <c r="K25" i="30"/>
  <c r="J27" i="30"/>
  <c r="K27" i="30"/>
  <c r="J24" i="30"/>
  <c r="K24" i="30"/>
  <c r="K22" i="30"/>
  <c r="J22" i="30"/>
  <c r="J23" i="30"/>
  <c r="K23" i="30"/>
  <c r="J21" i="30"/>
  <c r="K21" i="30"/>
  <c r="K16" i="30"/>
  <c r="J16" i="30"/>
  <c r="J14" i="30"/>
  <c r="K14" i="30" s="1"/>
  <c r="J15" i="30"/>
  <c r="K15" i="30" s="1"/>
  <c r="K20" i="30"/>
  <c r="J20" i="30"/>
  <c r="J19" i="30"/>
  <c r="K19" i="30" s="1"/>
  <c r="J18" i="30"/>
  <c r="K18" i="30" s="1"/>
  <c r="J17" i="30"/>
  <c r="K17" i="30" s="1"/>
  <c r="W14" i="27"/>
  <c r="H79" i="20" s="1"/>
  <c r="L88" i="27"/>
  <c r="AE14" i="27" s="1"/>
  <c r="H81" i="20" s="1"/>
  <c r="K14" i="27"/>
  <c r="F34" i="30"/>
  <c r="J13" i="30" l="1"/>
  <c r="K13" i="30" s="1"/>
  <c r="AK14" i="27"/>
  <c r="H76" i="20"/>
  <c r="L89" i="27"/>
  <c r="G7" i="26" s="1"/>
  <c r="AL14" i="27" s="1"/>
  <c r="K88" i="27"/>
  <c r="E54" i="27"/>
  <c r="E66" i="27"/>
  <c r="E61" i="27"/>
  <c r="E89" i="27" l="1"/>
  <c r="E11" i="27"/>
  <c r="C68" i="20" s="1"/>
  <c r="M11" i="27"/>
  <c r="G68" i="20" s="1"/>
  <c r="I11" i="27"/>
  <c r="K54" i="27"/>
  <c r="H61" i="27"/>
  <c r="P61" i="27" s="1"/>
  <c r="K61" i="27"/>
  <c r="K11" i="27" s="1"/>
  <c r="H88" i="27"/>
  <c r="K71" i="27"/>
  <c r="S11" i="27" s="1"/>
  <c r="I70" i="20" s="1"/>
  <c r="K66" i="27"/>
  <c r="O11" i="27" s="1"/>
  <c r="G70" i="20" s="1"/>
  <c r="H71" i="27"/>
  <c r="R11" i="27" s="1"/>
  <c r="I69" i="20" s="1"/>
  <c r="H66" i="27"/>
  <c r="P66" i="27" s="1"/>
  <c r="H54" i="27"/>
  <c r="M39" i="26"/>
  <c r="M40" i="26"/>
  <c r="M41" i="26"/>
  <c r="L39" i="26"/>
  <c r="L40" i="26"/>
  <c r="L41" i="26"/>
  <c r="M23" i="26"/>
  <c r="M24" i="26"/>
  <c r="M25" i="26"/>
  <c r="M26" i="26"/>
  <c r="M27" i="26"/>
  <c r="M28" i="26"/>
  <c r="M29" i="26"/>
  <c r="M31" i="26"/>
  <c r="M33" i="26"/>
  <c r="M34" i="26"/>
  <c r="M35" i="26"/>
  <c r="M22" i="26"/>
  <c r="L23" i="26"/>
  <c r="L24" i="26"/>
  <c r="L25" i="26"/>
  <c r="L26" i="26"/>
  <c r="L27" i="26"/>
  <c r="L28" i="26"/>
  <c r="L29" i="26"/>
  <c r="L31" i="26"/>
  <c r="L33" i="26"/>
  <c r="L34" i="26"/>
  <c r="L35" i="26"/>
  <c r="L22" i="26"/>
  <c r="M20" i="26"/>
  <c r="L20" i="26"/>
  <c r="M8" i="26"/>
  <c r="M9" i="26"/>
  <c r="M10" i="26"/>
  <c r="M11" i="26"/>
  <c r="M12" i="26"/>
  <c r="M13" i="26"/>
  <c r="M14" i="26"/>
  <c r="M15" i="26"/>
  <c r="M17" i="26"/>
  <c r="M18" i="26"/>
  <c r="M7" i="26"/>
  <c r="L8" i="26"/>
  <c r="L9" i="26"/>
  <c r="L10" i="26"/>
  <c r="L11" i="26"/>
  <c r="L12" i="26"/>
  <c r="L13" i="26"/>
  <c r="L14" i="26"/>
  <c r="L15" i="26"/>
  <c r="L17" i="26"/>
  <c r="L18" i="26"/>
  <c r="L7" i="26"/>
  <c r="F11" i="27" l="1"/>
  <c r="C69" i="20" s="1"/>
  <c r="H89" i="27"/>
  <c r="G11" i="27"/>
  <c r="C70" i="20" s="1"/>
  <c r="K89" i="27"/>
  <c r="E70" i="20"/>
  <c r="F11" i="25"/>
  <c r="E68" i="20"/>
  <c r="N11" i="27"/>
  <c r="G69" i="20" s="1"/>
  <c r="S66" i="27"/>
  <c r="S88" i="27"/>
  <c r="P88" i="27"/>
  <c r="J11" i="27"/>
  <c r="S61" i="27"/>
  <c r="S54" i="27"/>
  <c r="P54" i="27"/>
  <c r="S71" i="27"/>
  <c r="P71" i="27"/>
  <c r="I14" i="27"/>
  <c r="F76" i="20" s="1"/>
  <c r="F74" i="27"/>
  <c r="H87" i="25"/>
  <c r="H77" i="25"/>
  <c r="H65" i="25"/>
  <c r="I88" i="27"/>
  <c r="AD14" i="27" s="1"/>
  <c r="G81" i="20" s="1"/>
  <c r="I74" i="27"/>
  <c r="T71" i="27"/>
  <c r="T66" i="27"/>
  <c r="E14" i="27"/>
  <c r="F75" i="20" s="1"/>
  <c r="D49" i="10"/>
  <c r="I89" i="27" l="1"/>
  <c r="H11" i="25"/>
  <c r="U14" i="27"/>
  <c r="F79" i="20" s="1"/>
  <c r="N74" i="27"/>
  <c r="F89" i="27"/>
  <c r="T74" i="27"/>
  <c r="V14" i="27"/>
  <c r="G79" i="20" s="1"/>
  <c r="T61" i="27"/>
  <c r="J14" i="27"/>
  <c r="G76" i="20" s="1"/>
  <c r="G11" i="25"/>
  <c r="E69" i="20"/>
  <c r="H55" i="25"/>
  <c r="Q74" i="27"/>
  <c r="Q66" i="27"/>
  <c r="T88" i="27"/>
  <c r="Q88" i="27"/>
  <c r="Q61" i="27"/>
  <c r="P89" i="27"/>
  <c r="Q71" i="27"/>
  <c r="S89" i="27"/>
  <c r="H148" i="20"/>
  <c r="H134" i="20"/>
  <c r="H120" i="20"/>
  <c r="H106" i="20"/>
  <c r="F65" i="25"/>
  <c r="F77" i="25"/>
  <c r="F87" i="25"/>
  <c r="F46" i="25"/>
  <c r="G77" i="25"/>
  <c r="G65" i="25"/>
  <c r="T54" i="27"/>
  <c r="AG14" i="27" l="1"/>
  <c r="Q89" i="27"/>
  <c r="N89" i="27"/>
  <c r="AI14" i="27"/>
  <c r="G87" i="25"/>
  <c r="E7" i="26"/>
  <c r="AH14" i="27" s="1"/>
  <c r="G55" i="25"/>
  <c r="F55" i="25"/>
  <c r="Q54" i="27"/>
  <c r="G148" i="20"/>
  <c r="G134" i="20"/>
  <c r="G120" i="20"/>
  <c r="G106" i="20"/>
  <c r="F148" i="20"/>
  <c r="F134" i="20"/>
  <c r="F120" i="20"/>
  <c r="F106" i="20"/>
  <c r="F92" i="20"/>
  <c r="G46" i="25"/>
  <c r="H43" i="24"/>
  <c r="H44" i="24"/>
  <c r="H45" i="24"/>
  <c r="H46" i="24"/>
  <c r="H47" i="24"/>
  <c r="H49" i="24"/>
  <c r="G43" i="24"/>
  <c r="G44" i="24"/>
  <c r="G45" i="24"/>
  <c r="G46" i="24"/>
  <c r="G47" i="24"/>
  <c r="G49" i="24"/>
  <c r="H50" i="24"/>
  <c r="G50" i="24"/>
  <c r="T89" i="27" l="1"/>
  <c r="F7" i="26"/>
  <c r="AJ14" i="27" s="1"/>
  <c r="H46" i="25"/>
  <c r="H92" i="20"/>
  <c r="G92" i="20"/>
  <c r="G51" i="24"/>
  <c r="H51" i="24"/>
  <c r="E84" i="25"/>
  <c r="E74" i="25"/>
  <c r="F74" i="25" s="1"/>
  <c r="G74" i="25" s="1"/>
  <c r="H74" i="25" s="1"/>
  <c r="E62" i="25"/>
  <c r="E52" i="25"/>
  <c r="E43" i="25"/>
  <c r="F43" i="25" s="1"/>
  <c r="G43" i="25" s="1"/>
  <c r="H43" i="25" s="1"/>
  <c r="E10" i="25"/>
  <c r="E61" i="24"/>
  <c r="F61" i="24" s="1"/>
  <c r="G61" i="24" s="1"/>
  <c r="H61" i="24" s="1"/>
  <c r="F49" i="24"/>
  <c r="E49" i="24"/>
  <c r="D49" i="24"/>
  <c r="F47" i="24"/>
  <c r="E47" i="24"/>
  <c r="D47" i="24"/>
  <c r="F46" i="24"/>
  <c r="E46" i="24"/>
  <c r="D46" i="24"/>
  <c r="F45" i="24"/>
  <c r="E45" i="24"/>
  <c r="D45" i="24"/>
  <c r="F44" i="24"/>
  <c r="E44" i="24"/>
  <c r="D44" i="24"/>
  <c r="F43" i="24"/>
  <c r="E43" i="24"/>
  <c r="D43" i="24"/>
  <c r="F50" i="24"/>
  <c r="E50" i="24"/>
  <c r="D50" i="24"/>
  <c r="E42" i="24"/>
  <c r="F42" i="24" s="1"/>
  <c r="G42" i="24" s="1"/>
  <c r="H42" i="24" s="1"/>
  <c r="B29" i="24"/>
  <c r="B30" i="24" s="1"/>
  <c r="B31" i="24" s="1"/>
  <c r="B32" i="24" s="1"/>
  <c r="B11" i="24"/>
  <c r="B12" i="24" s="1"/>
  <c r="B13" i="24" s="1"/>
  <c r="B14" i="24" s="1"/>
  <c r="B54" i="19"/>
  <c r="B51" i="19"/>
  <c r="B50" i="19"/>
  <c r="M49" i="19"/>
  <c r="N49" i="19" s="1"/>
  <c r="O49" i="19" s="1"/>
  <c r="P49" i="19" s="1"/>
  <c r="E49" i="19"/>
  <c r="M22" i="19"/>
  <c r="N22" i="19" s="1"/>
  <c r="O22" i="19" s="1"/>
  <c r="P22" i="19" s="1"/>
  <c r="E22" i="19"/>
  <c r="D22" i="19" s="1"/>
  <c r="C22" i="19" s="1"/>
  <c r="H54" i="20"/>
  <c r="D32" i="24"/>
  <c r="J79" i="23"/>
  <c r="N77" i="23" s="1"/>
  <c r="M78" i="23"/>
  <c r="M76" i="23"/>
  <c r="M75" i="23"/>
  <c r="J70" i="20" s="1"/>
  <c r="M74" i="23"/>
  <c r="H70" i="20" s="1"/>
  <c r="M73" i="23"/>
  <c r="F70" i="20" s="1"/>
  <c r="M72" i="23"/>
  <c r="D70" i="20" s="1"/>
  <c r="D31" i="24"/>
  <c r="J66" i="23"/>
  <c r="N64" i="23" s="1"/>
  <c r="M65" i="23"/>
  <c r="M63" i="23"/>
  <c r="M62" i="23"/>
  <c r="J69" i="20" s="1"/>
  <c r="M61" i="23"/>
  <c r="H69" i="20" s="1"/>
  <c r="M60" i="23"/>
  <c r="F69" i="20" s="1"/>
  <c r="M59" i="23"/>
  <c r="D69" i="20" s="1"/>
  <c r="D30" i="24"/>
  <c r="F12" i="25"/>
  <c r="F13" i="25" s="1"/>
  <c r="J53" i="23"/>
  <c r="N51" i="23" s="1"/>
  <c r="M52" i="23"/>
  <c r="M50" i="23"/>
  <c r="M49" i="23"/>
  <c r="J68" i="20" s="1"/>
  <c r="M48" i="23"/>
  <c r="H68" i="20" s="1"/>
  <c r="M47" i="23"/>
  <c r="F68" i="20" s="1"/>
  <c r="M46" i="23"/>
  <c r="D68" i="20" s="1"/>
  <c r="D29" i="24"/>
  <c r="E12" i="25"/>
  <c r="E13" i="25" s="1"/>
  <c r="J40" i="23"/>
  <c r="N38" i="23" s="1"/>
  <c r="T8" i="31" s="1"/>
  <c r="X8" i="27" s="1"/>
  <c r="M39" i="23"/>
  <c r="M37" i="23"/>
  <c r="M36" i="23"/>
  <c r="M35" i="23"/>
  <c r="M34" i="23"/>
  <c r="M33" i="23"/>
  <c r="B30" i="23"/>
  <c r="B43" i="23" s="1"/>
  <c r="B56" i="23" s="1"/>
  <c r="B69" i="23" s="1"/>
  <c r="D28" i="24"/>
  <c r="J27" i="23"/>
  <c r="N25" i="23" s="1"/>
  <c r="S8" i="31" s="1"/>
  <c r="M26" i="23"/>
  <c r="M24" i="23"/>
  <c r="M23" i="23"/>
  <c r="M22" i="23"/>
  <c r="M21" i="23"/>
  <c r="M20" i="23"/>
  <c r="D27" i="24"/>
  <c r="D14" i="23"/>
  <c r="M13" i="23"/>
  <c r="M11" i="23"/>
  <c r="M10" i="23"/>
  <c r="M9" i="23"/>
  <c r="M8" i="23"/>
  <c r="M7" i="23"/>
  <c r="H41" i="20"/>
  <c r="H40" i="20"/>
  <c r="F40" i="20"/>
  <c r="C39" i="20"/>
  <c r="C38" i="20"/>
  <c r="C37" i="20"/>
  <c r="G36" i="20"/>
  <c r="J35" i="20"/>
  <c r="L35" i="20" s="1"/>
  <c r="N35" i="20" s="1"/>
  <c r="I35" i="20"/>
  <c r="K35" i="20" s="1"/>
  <c r="M35" i="20" s="1"/>
  <c r="H35" i="20"/>
  <c r="F35" i="20" s="1"/>
  <c r="G35" i="20"/>
  <c r="E35" i="20" s="1"/>
  <c r="E23" i="20"/>
  <c r="F23" i="20" s="1"/>
  <c r="G23" i="20" s="1"/>
  <c r="H23" i="20" s="1"/>
  <c r="E15" i="20"/>
  <c r="H10" i="20"/>
  <c r="F10" i="20"/>
  <c r="D10" i="20"/>
  <c r="H9" i="20"/>
  <c r="F9" i="20"/>
  <c r="D9" i="20"/>
  <c r="G7" i="20"/>
  <c r="E7" i="20"/>
  <c r="C7" i="20"/>
  <c r="G6" i="20"/>
  <c r="E6" i="20"/>
  <c r="C6" i="20"/>
  <c r="H4" i="20"/>
  <c r="F4" i="20" s="1"/>
  <c r="D4" i="20" s="1"/>
  <c r="G4" i="20"/>
  <c r="E4" i="20" s="1"/>
  <c r="C4" i="20" s="1"/>
  <c r="E41" i="26"/>
  <c r="E39" i="26"/>
  <c r="N39" i="26" s="1"/>
  <c r="G77" i="10"/>
  <c r="G76" i="10"/>
  <c r="E34" i="26" s="1"/>
  <c r="N34" i="26" s="1"/>
  <c r="G75" i="10"/>
  <c r="F74" i="10"/>
  <c r="F78" i="10" s="1"/>
  <c r="D74" i="10"/>
  <c r="D78" i="10" s="1"/>
  <c r="C74" i="10"/>
  <c r="C78" i="10" s="1"/>
  <c r="G73" i="10"/>
  <c r="G72" i="10"/>
  <c r="I72" i="10" s="1"/>
  <c r="G71" i="10"/>
  <c r="G70" i="10"/>
  <c r="I70" i="10" s="1"/>
  <c r="G69" i="10"/>
  <c r="G68" i="10"/>
  <c r="G67" i="10"/>
  <c r="G65" i="10"/>
  <c r="G63" i="10"/>
  <c r="I63" i="10" s="1"/>
  <c r="G62" i="10"/>
  <c r="I62" i="10" s="1"/>
  <c r="G61" i="10"/>
  <c r="I61" i="10" s="1"/>
  <c r="G60" i="10"/>
  <c r="F59" i="10"/>
  <c r="F64" i="10" s="1"/>
  <c r="D59" i="10"/>
  <c r="D64" i="10" s="1"/>
  <c r="G58" i="10"/>
  <c r="G57" i="10"/>
  <c r="E14" i="26" s="1"/>
  <c r="Y21" i="27" s="1"/>
  <c r="G56" i="10"/>
  <c r="E13" i="26" s="1"/>
  <c r="AH20" i="27" s="1"/>
  <c r="G55" i="10"/>
  <c r="G54" i="10"/>
  <c r="I54" i="10" s="1"/>
  <c r="G53" i="10"/>
  <c r="G52" i="10"/>
  <c r="C59" i="10"/>
  <c r="C64" i="10" s="1"/>
  <c r="B49" i="10"/>
  <c r="K33" i="10"/>
  <c r="J33" i="10"/>
  <c r="I33" i="10"/>
  <c r="E33" i="10"/>
  <c r="M27" i="19" s="1"/>
  <c r="D33" i="10"/>
  <c r="L27" i="19" s="1"/>
  <c r="C33" i="10"/>
  <c r="K27" i="19" s="1"/>
  <c r="K22" i="10"/>
  <c r="E22" i="10"/>
  <c r="K13" i="10"/>
  <c r="J13" i="10"/>
  <c r="I13" i="10"/>
  <c r="E13" i="10"/>
  <c r="D13" i="10"/>
  <c r="C13" i="10"/>
  <c r="K8" i="10"/>
  <c r="J8" i="10"/>
  <c r="I8" i="10"/>
  <c r="E8" i="10"/>
  <c r="D8" i="10"/>
  <c r="C8" i="10"/>
  <c r="E4" i="10"/>
  <c r="B67" i="20" s="1"/>
  <c r="B36" i="16"/>
  <c r="B24" i="16"/>
  <c r="B18" i="16"/>
  <c r="B16" i="16"/>
  <c r="B12" i="16"/>
  <c r="B10" i="16" s="1"/>
  <c r="N26" i="19" l="1"/>
  <c r="C23" i="19"/>
  <c r="C50" i="19" s="1"/>
  <c r="C23" i="33"/>
  <c r="C50" i="33" s="1"/>
  <c r="C24" i="33"/>
  <c r="C27" i="33" s="1"/>
  <c r="D25" i="19"/>
  <c r="D25" i="33"/>
  <c r="I27" i="33"/>
  <c r="D40" i="10"/>
  <c r="AC47" i="31"/>
  <c r="J50" i="33"/>
  <c r="K40" i="10"/>
  <c r="AE33" i="31"/>
  <c r="D23" i="33"/>
  <c r="D50" i="33" s="1"/>
  <c r="D24" i="33"/>
  <c r="D27" i="33" s="1"/>
  <c r="J27" i="33"/>
  <c r="E40" i="10"/>
  <c r="AE47" i="31"/>
  <c r="B27" i="16"/>
  <c r="B28" i="16" s="1"/>
  <c r="B25" i="16"/>
  <c r="E16" i="20"/>
  <c r="E24" i="33"/>
  <c r="E27" i="33" s="1"/>
  <c r="E23" i="33"/>
  <c r="E50" i="33" s="1"/>
  <c r="I40" i="10"/>
  <c r="AA33" i="31"/>
  <c r="E25" i="19"/>
  <c r="C51" i="29" s="1"/>
  <c r="E25" i="33"/>
  <c r="C18" i="20"/>
  <c r="C25" i="33"/>
  <c r="H27" i="33"/>
  <c r="C40" i="10"/>
  <c r="AA47" i="31"/>
  <c r="I50" i="33"/>
  <c r="J40" i="10"/>
  <c r="AC33" i="31"/>
  <c r="H67" i="24"/>
  <c r="H66" i="24"/>
  <c r="H69" i="24"/>
  <c r="H68" i="24"/>
  <c r="H70" i="24"/>
  <c r="H65" i="24"/>
  <c r="G69" i="24"/>
  <c r="G65" i="24"/>
  <c r="G68" i="24"/>
  <c r="G70" i="24"/>
  <c r="G66" i="24"/>
  <c r="G67" i="24"/>
  <c r="F70" i="24"/>
  <c r="F66" i="24"/>
  <c r="F69" i="24"/>
  <c r="F68" i="24"/>
  <c r="F67" i="24"/>
  <c r="F65" i="24"/>
  <c r="J67" i="20"/>
  <c r="F67" i="20"/>
  <c r="E68" i="24"/>
  <c r="E70" i="24"/>
  <c r="E67" i="24"/>
  <c r="E69" i="24"/>
  <c r="F66" i="20"/>
  <c r="J66" i="20"/>
  <c r="D69" i="24"/>
  <c r="D65" i="24"/>
  <c r="D68" i="24"/>
  <c r="D67" i="24"/>
  <c r="D70" i="24"/>
  <c r="D66" i="24"/>
  <c r="J65" i="20"/>
  <c r="F65" i="20"/>
  <c r="E66" i="24"/>
  <c r="E65" i="24"/>
  <c r="E6" i="27"/>
  <c r="AG6" i="27" s="1"/>
  <c r="E6" i="31"/>
  <c r="C44" i="20"/>
  <c r="D67" i="20"/>
  <c r="D66" i="20"/>
  <c r="D65" i="20"/>
  <c r="H67" i="20"/>
  <c r="H66" i="20"/>
  <c r="H65" i="20"/>
  <c r="N24" i="23"/>
  <c r="P8" i="31" s="1"/>
  <c r="N21" i="23"/>
  <c r="G8" i="31" s="1"/>
  <c r="N26" i="23"/>
  <c r="V8" i="31" s="1"/>
  <c r="N22" i="23"/>
  <c r="J8" i="31" s="1"/>
  <c r="N20" i="23"/>
  <c r="D8" i="31" s="1"/>
  <c r="N23" i="23"/>
  <c r="M8" i="31" s="1"/>
  <c r="F41" i="26"/>
  <c r="G41" i="26" s="1"/>
  <c r="H41" i="26" s="1"/>
  <c r="I41" i="26" s="1"/>
  <c r="N41" i="26"/>
  <c r="H64" i="24"/>
  <c r="N76" i="23"/>
  <c r="W8" i="27" s="1"/>
  <c r="N73" i="23"/>
  <c r="K8" i="27" s="1"/>
  <c r="N78" i="23"/>
  <c r="AE8" i="27" s="1"/>
  <c r="N74" i="23"/>
  <c r="O8" i="27" s="1"/>
  <c r="N75" i="23"/>
  <c r="S8" i="27" s="1"/>
  <c r="N72" i="23"/>
  <c r="N61" i="23"/>
  <c r="N8" i="27" s="1"/>
  <c r="N59" i="23"/>
  <c r="N62" i="23"/>
  <c r="R8" i="27" s="1"/>
  <c r="N63" i="23"/>
  <c r="V8" i="27" s="1"/>
  <c r="N60" i="23"/>
  <c r="J8" i="27" s="1"/>
  <c r="N65" i="23"/>
  <c r="AD8" i="27" s="1"/>
  <c r="N47" i="23"/>
  <c r="I8" i="27" s="1"/>
  <c r="N52" i="23"/>
  <c r="AC8" i="27" s="1"/>
  <c r="N48" i="23"/>
  <c r="M8" i="27" s="1"/>
  <c r="N46" i="23"/>
  <c r="E8" i="27" s="1"/>
  <c r="N50" i="23"/>
  <c r="U8" i="27" s="1"/>
  <c r="N49" i="23"/>
  <c r="Q8" i="27" s="1"/>
  <c r="N36" i="23"/>
  <c r="N8" i="31" s="1"/>
  <c r="P8" i="27" s="1"/>
  <c r="N37" i="23"/>
  <c r="Q8" i="31" s="1"/>
  <c r="T8" i="27" s="1"/>
  <c r="N34" i="23"/>
  <c r="H8" i="31" s="1"/>
  <c r="H8" i="27" s="1"/>
  <c r="N39" i="23"/>
  <c r="W8" i="31" s="1"/>
  <c r="AB8" i="27" s="1"/>
  <c r="N35" i="23"/>
  <c r="K8" i="31" s="1"/>
  <c r="L8" i="27" s="1"/>
  <c r="N33" i="23"/>
  <c r="E8" i="31" s="1"/>
  <c r="D8" i="27" s="1"/>
  <c r="I39" i="20"/>
  <c r="F51" i="20"/>
  <c r="F48" i="20"/>
  <c r="I36" i="20"/>
  <c r="F50" i="20"/>
  <c r="I38" i="20"/>
  <c r="F55" i="20"/>
  <c r="J41" i="20"/>
  <c r="F56" i="20"/>
  <c r="J42" i="20"/>
  <c r="J40" i="20"/>
  <c r="F54" i="20"/>
  <c r="F57" i="20"/>
  <c r="L40" i="20"/>
  <c r="G54" i="20"/>
  <c r="M79" i="23"/>
  <c r="H63" i="24" s="1"/>
  <c r="C79" i="10"/>
  <c r="C80" i="10" s="1"/>
  <c r="M53" i="23"/>
  <c r="F63" i="24" s="1"/>
  <c r="C27" i="24"/>
  <c r="C12" i="25"/>
  <c r="C13" i="25" s="1"/>
  <c r="F64" i="24"/>
  <c r="D64" i="24"/>
  <c r="E64" i="24"/>
  <c r="C28" i="24"/>
  <c r="D12" i="25"/>
  <c r="D13" i="25" s="1"/>
  <c r="D13" i="24"/>
  <c r="G64" i="24"/>
  <c r="G62" i="24"/>
  <c r="U21" i="27"/>
  <c r="M21" i="27"/>
  <c r="E21" i="27"/>
  <c r="AC21" i="27"/>
  <c r="Q21" i="27"/>
  <c r="I21" i="27"/>
  <c r="H7" i="26"/>
  <c r="I7" i="26" s="1"/>
  <c r="N40" i="20"/>
  <c r="L49" i="19"/>
  <c r="K49" i="19" s="1"/>
  <c r="D74" i="25"/>
  <c r="C74" i="25" s="1"/>
  <c r="B10" i="24"/>
  <c r="B9" i="24" s="1"/>
  <c r="E24" i="26"/>
  <c r="I67" i="10"/>
  <c r="E28" i="26"/>
  <c r="I71" i="10"/>
  <c r="D23" i="20"/>
  <c r="C23" i="20" s="1"/>
  <c r="D62" i="25"/>
  <c r="C62" i="25" s="1"/>
  <c r="F62" i="25"/>
  <c r="G62" i="25" s="1"/>
  <c r="H62" i="25" s="1"/>
  <c r="J22" i="10"/>
  <c r="M6" i="26" s="1"/>
  <c r="C5" i="30"/>
  <c r="E9" i="26"/>
  <c r="AH16" i="27" s="1"/>
  <c r="I68" i="10"/>
  <c r="F39" i="26"/>
  <c r="D4" i="10"/>
  <c r="D6" i="27"/>
  <c r="D15" i="20"/>
  <c r="C15" i="20" s="1"/>
  <c r="F15" i="20"/>
  <c r="G15" i="20" s="1"/>
  <c r="H15" i="20" s="1"/>
  <c r="J43" i="20"/>
  <c r="E17" i="26"/>
  <c r="N17" i="26" s="1"/>
  <c r="I60" i="10"/>
  <c r="I65" i="10"/>
  <c r="E26" i="26"/>
  <c r="I69" i="10"/>
  <c r="E31" i="26"/>
  <c r="I73" i="10"/>
  <c r="D49" i="19"/>
  <c r="C49" i="19" s="1"/>
  <c r="F49" i="19"/>
  <c r="G49" i="19" s="1"/>
  <c r="H49" i="19" s="1"/>
  <c r="B28" i="24"/>
  <c r="B27" i="24" s="1"/>
  <c r="D52" i="25"/>
  <c r="C52" i="25" s="1"/>
  <c r="F52" i="25"/>
  <c r="G52" i="25" s="1"/>
  <c r="H52" i="25" s="1"/>
  <c r="D84" i="25"/>
  <c r="C84" i="25" s="1"/>
  <c r="F84" i="25"/>
  <c r="G84" i="25" s="1"/>
  <c r="H84" i="25" s="1"/>
  <c r="H12" i="25"/>
  <c r="H13" i="25" s="1"/>
  <c r="C32" i="24"/>
  <c r="M66" i="23"/>
  <c r="G63" i="24" s="1"/>
  <c r="G12" i="25"/>
  <c r="G13" i="25" s="1"/>
  <c r="C31" i="24"/>
  <c r="M40" i="23"/>
  <c r="E63" i="24" s="1"/>
  <c r="C29" i="24"/>
  <c r="C30" i="24"/>
  <c r="D43" i="25"/>
  <c r="C43" i="25" s="1"/>
  <c r="D10" i="25"/>
  <c r="C10" i="25" s="1"/>
  <c r="F10" i="25"/>
  <c r="G10" i="25" s="1"/>
  <c r="H10" i="25" s="1"/>
  <c r="D14" i="10"/>
  <c r="L16" i="26"/>
  <c r="M32" i="26"/>
  <c r="D43" i="10"/>
  <c r="L32" i="26"/>
  <c r="E22" i="26"/>
  <c r="AH24" i="27" s="1"/>
  <c r="D79" i="10"/>
  <c r="D80" i="10" s="1"/>
  <c r="F22" i="19"/>
  <c r="G22" i="19" s="1"/>
  <c r="H22" i="19" s="1"/>
  <c r="D14" i="24"/>
  <c r="H62" i="24"/>
  <c r="F62" i="24"/>
  <c r="E62" i="24"/>
  <c r="F14" i="26"/>
  <c r="Z21" i="27" s="1"/>
  <c r="N14" i="26"/>
  <c r="F34" i="26"/>
  <c r="P7" i="26"/>
  <c r="F13" i="26"/>
  <c r="AJ20" i="27" s="1"/>
  <c r="N13" i="26"/>
  <c r="M16" i="26"/>
  <c r="B14" i="16"/>
  <c r="B17" i="23"/>
  <c r="B4" i="23" s="1"/>
  <c r="L22" i="19"/>
  <c r="K22" i="19" s="1"/>
  <c r="C35" i="20"/>
  <c r="D35" i="20"/>
  <c r="D24" i="19"/>
  <c r="D27" i="19" s="1"/>
  <c r="E14" i="10"/>
  <c r="E5" i="20"/>
  <c r="C17" i="20"/>
  <c r="E43" i="10"/>
  <c r="F79" i="10"/>
  <c r="F80" i="10" s="1"/>
  <c r="D17" i="20"/>
  <c r="D23" i="19"/>
  <c r="D50" i="19" s="1"/>
  <c r="D18" i="20"/>
  <c r="E23" i="19"/>
  <c r="E50" i="19" s="1"/>
  <c r="C14" i="10"/>
  <c r="C42" i="10"/>
  <c r="D42" i="10"/>
  <c r="C5" i="20"/>
  <c r="E18" i="20"/>
  <c r="E24" i="19"/>
  <c r="E27" i="19" s="1"/>
  <c r="D8" i="20"/>
  <c r="J14" i="10"/>
  <c r="G5" i="20"/>
  <c r="F8" i="20"/>
  <c r="D16" i="20"/>
  <c r="E17" i="20"/>
  <c r="C24" i="19"/>
  <c r="C27" i="19" s="1"/>
  <c r="I14" i="10"/>
  <c r="C43" i="10"/>
  <c r="C16" i="20"/>
  <c r="C24" i="20"/>
  <c r="C25" i="19"/>
  <c r="K14" i="10"/>
  <c r="H8" i="20"/>
  <c r="M50" i="19"/>
  <c r="E42" i="10"/>
  <c r="E24" i="20"/>
  <c r="D24" i="20"/>
  <c r="L50" i="19"/>
  <c r="F51" i="24"/>
  <c r="D42" i="24"/>
  <c r="C42" i="24" s="1"/>
  <c r="D51" i="24"/>
  <c r="D61" i="24"/>
  <c r="C61" i="24" s="1"/>
  <c r="M27" i="23"/>
  <c r="D63" i="24" s="1"/>
  <c r="M14" i="23"/>
  <c r="C63" i="24" s="1"/>
  <c r="D12" i="24"/>
  <c r="E51" i="24"/>
  <c r="D11" i="24"/>
  <c r="D10" i="24"/>
  <c r="I56" i="10"/>
  <c r="K4" i="10"/>
  <c r="E6" i="26" s="1"/>
  <c r="B68" i="20" s="1"/>
  <c r="E59" i="10"/>
  <c r="E64" i="10" s="1"/>
  <c r="D22" i="10"/>
  <c r="G59" i="10"/>
  <c r="G64" i="10" s="1"/>
  <c r="E74" i="10"/>
  <c r="E78" i="10" s="1"/>
  <c r="E25" i="26"/>
  <c r="E18" i="26"/>
  <c r="E35" i="26"/>
  <c r="N35" i="26" s="1"/>
  <c r="I77" i="10"/>
  <c r="E40" i="26"/>
  <c r="N40" i="26" s="1"/>
  <c r="I82" i="10"/>
  <c r="E10" i="26"/>
  <c r="Y17" i="27" s="1"/>
  <c r="I53" i="10"/>
  <c r="E15" i="26"/>
  <c r="Y22" i="27" s="1"/>
  <c r="I58" i="10"/>
  <c r="E27" i="26"/>
  <c r="E12" i="26"/>
  <c r="Y19" i="27" s="1"/>
  <c r="I55" i="10"/>
  <c r="E33" i="26"/>
  <c r="N33" i="26" s="1"/>
  <c r="I75" i="10"/>
  <c r="I51" i="10"/>
  <c r="E20" i="26"/>
  <c r="E29" i="26"/>
  <c r="E11" i="26"/>
  <c r="AH18" i="27" s="1"/>
  <c r="E19" i="26"/>
  <c r="I52" i="10"/>
  <c r="G66" i="10"/>
  <c r="I81" i="10"/>
  <c r="I50" i="10"/>
  <c r="I57" i="10"/>
  <c r="I76" i="10"/>
  <c r="I83" i="10"/>
  <c r="C19" i="20" l="1"/>
  <c r="C53" i="33"/>
  <c r="D52" i="19"/>
  <c r="D52" i="33"/>
  <c r="E52" i="19"/>
  <c r="E52" i="33"/>
  <c r="E53" i="33"/>
  <c r="J10" i="29"/>
  <c r="J12" i="29" s="1"/>
  <c r="J24" i="33"/>
  <c r="J25" i="33" s="1"/>
  <c r="D53" i="33"/>
  <c r="J23" i="33"/>
  <c r="AE49" i="31"/>
  <c r="H23" i="33"/>
  <c r="H51" i="33" s="1"/>
  <c r="AA49" i="31"/>
  <c r="I10" i="29"/>
  <c r="I12" i="29" s="1"/>
  <c r="I24" i="33"/>
  <c r="I25" i="33" s="1"/>
  <c r="C26" i="33"/>
  <c r="C28" i="33" s="1"/>
  <c r="C51" i="33"/>
  <c r="H10" i="29"/>
  <c r="H12" i="29" s="1"/>
  <c r="H24" i="33"/>
  <c r="H25" i="33" s="1"/>
  <c r="I23" i="33"/>
  <c r="I51" i="33" s="1"/>
  <c r="AC49" i="31"/>
  <c r="D51" i="33"/>
  <c r="D26" i="33"/>
  <c r="D28" i="33" s="1"/>
  <c r="E26" i="33"/>
  <c r="E28" i="33" s="1"/>
  <c r="E51" i="33"/>
  <c r="N29" i="26"/>
  <c r="AH21" i="27"/>
  <c r="AG21" i="27"/>
  <c r="N25" i="26"/>
  <c r="Y28" i="27"/>
  <c r="Y27" i="27" s="1"/>
  <c r="N31" i="26"/>
  <c r="Y36" i="27"/>
  <c r="N28" i="26"/>
  <c r="AH34" i="27"/>
  <c r="N27" i="26"/>
  <c r="Y32" i="27"/>
  <c r="Y31" i="27" s="1"/>
  <c r="Y23" i="27"/>
  <c r="F164" i="20"/>
  <c r="N26" i="26"/>
  <c r="AH30" i="27"/>
  <c r="N24" i="26"/>
  <c r="Y26" i="27"/>
  <c r="N46" i="27"/>
  <c r="F6" i="27"/>
  <c r="AI6" i="27" s="1"/>
  <c r="I6" i="27"/>
  <c r="M6" i="27" s="1"/>
  <c r="Q6" i="27" s="1"/>
  <c r="U6" i="27" s="1"/>
  <c r="K6" i="31"/>
  <c r="Q6" i="31" s="1"/>
  <c r="H6" i="31"/>
  <c r="N6" i="31" s="1"/>
  <c r="D6" i="31"/>
  <c r="J4" i="10"/>
  <c r="B66" i="20"/>
  <c r="N22" i="26"/>
  <c r="G13" i="26"/>
  <c r="AL20" i="27" s="1"/>
  <c r="I37" i="20"/>
  <c r="F49" i="20"/>
  <c r="C42" i="29"/>
  <c r="AC32" i="27"/>
  <c r="AC31" i="27" s="1"/>
  <c r="I32" i="27"/>
  <c r="I31" i="27" s="1"/>
  <c r="M32" i="27"/>
  <c r="M31" i="27" s="1"/>
  <c r="Q32" i="27"/>
  <c r="Q31" i="27" s="1"/>
  <c r="U32" i="27"/>
  <c r="U31" i="27" s="1"/>
  <c r="E32" i="27"/>
  <c r="M28" i="27"/>
  <c r="M27" i="27" s="1"/>
  <c r="F115" i="20" s="1"/>
  <c r="Q28" i="27"/>
  <c r="Q27" i="27" s="1"/>
  <c r="E28" i="27"/>
  <c r="AC28" i="27"/>
  <c r="AC27" i="27" s="1"/>
  <c r="U28" i="27"/>
  <c r="U27" i="27" s="1"/>
  <c r="I28" i="27"/>
  <c r="I27" i="27" s="1"/>
  <c r="F9" i="26"/>
  <c r="D34" i="29"/>
  <c r="AC17" i="27"/>
  <c r="I17" i="27"/>
  <c r="Q17" i="27"/>
  <c r="E17" i="27"/>
  <c r="M17" i="27"/>
  <c r="U17" i="27"/>
  <c r="N6" i="26"/>
  <c r="C6" i="29"/>
  <c r="C44" i="29"/>
  <c r="C41" i="29"/>
  <c r="C40" i="29"/>
  <c r="C34" i="29"/>
  <c r="C33" i="29"/>
  <c r="M19" i="27"/>
  <c r="Q19" i="27"/>
  <c r="U19" i="27"/>
  <c r="E19" i="27"/>
  <c r="AC19" i="27"/>
  <c r="I19" i="27"/>
  <c r="E53" i="19"/>
  <c r="D51" i="19"/>
  <c r="C51" i="19"/>
  <c r="AC22" i="27"/>
  <c r="I22" i="27"/>
  <c r="M22" i="27"/>
  <c r="Q22" i="27"/>
  <c r="U22" i="27"/>
  <c r="E22" i="27"/>
  <c r="V21" i="27"/>
  <c r="N21" i="27"/>
  <c r="F21" i="27"/>
  <c r="AD21" i="27"/>
  <c r="R21" i="27"/>
  <c r="J21" i="27"/>
  <c r="U36" i="27"/>
  <c r="AC36" i="27"/>
  <c r="I36" i="27"/>
  <c r="M36" i="27"/>
  <c r="Q36" i="27"/>
  <c r="E36" i="27"/>
  <c r="U26" i="27"/>
  <c r="M26" i="27"/>
  <c r="AC26" i="27"/>
  <c r="I26" i="27"/>
  <c r="E26" i="27"/>
  <c r="Q26" i="27"/>
  <c r="D53" i="19"/>
  <c r="AB39" i="27"/>
  <c r="F28" i="26"/>
  <c r="AJ34" i="27" s="1"/>
  <c r="C4" i="10"/>
  <c r="AA34" i="31" s="1"/>
  <c r="N9" i="26"/>
  <c r="F24" i="26"/>
  <c r="Z26" i="27" s="1"/>
  <c r="F17" i="26"/>
  <c r="G17" i="26" s="1"/>
  <c r="H17" i="26" s="1"/>
  <c r="I17" i="26" s="1"/>
  <c r="F31" i="26"/>
  <c r="Z36" i="27" s="1"/>
  <c r="F22" i="26"/>
  <c r="I5" i="30"/>
  <c r="D5" i="30"/>
  <c r="E5" i="30" s="1"/>
  <c r="I66" i="10"/>
  <c r="L6" i="27"/>
  <c r="P6" i="27"/>
  <c r="AB6" i="27"/>
  <c r="T6" i="27"/>
  <c r="H6" i="27"/>
  <c r="X6" i="27" s="1"/>
  <c r="I22" i="10"/>
  <c r="L6" i="26" s="1"/>
  <c r="F40" i="26"/>
  <c r="N50" i="19"/>
  <c r="F24" i="20"/>
  <c r="G14" i="26"/>
  <c r="AA21" i="27" s="1"/>
  <c r="G34" i="26"/>
  <c r="F26" i="26"/>
  <c r="G39" i="26"/>
  <c r="D26" i="19"/>
  <c r="D28" i="19" s="1"/>
  <c r="M24" i="19"/>
  <c r="M25" i="19" s="1"/>
  <c r="D25" i="20"/>
  <c r="M37" i="26"/>
  <c r="L24" i="19"/>
  <c r="L25" i="19" s="1"/>
  <c r="M38" i="26"/>
  <c r="K24" i="19"/>
  <c r="L38" i="26"/>
  <c r="C25" i="20"/>
  <c r="L37" i="26"/>
  <c r="N11" i="26"/>
  <c r="F11" i="26"/>
  <c r="AJ18" i="27" s="1"/>
  <c r="O7" i="26"/>
  <c r="N7" i="26"/>
  <c r="N20" i="26"/>
  <c r="F20" i="26"/>
  <c r="F27" i="26"/>
  <c r="Z32" i="27" s="1"/>
  <c r="F25" i="26"/>
  <c r="Z28" i="27" s="1"/>
  <c r="D44" i="27"/>
  <c r="F33" i="26"/>
  <c r="F10" i="26"/>
  <c r="Z17" i="27" s="1"/>
  <c r="N10" i="26"/>
  <c r="F35" i="26"/>
  <c r="F29" i="26"/>
  <c r="N8" i="26"/>
  <c r="F12" i="26"/>
  <c r="Z19" i="27" s="1"/>
  <c r="N12" i="26"/>
  <c r="N15" i="26"/>
  <c r="F15" i="26"/>
  <c r="Z22" i="27" s="1"/>
  <c r="F18" i="26"/>
  <c r="N18" i="26"/>
  <c r="E19" i="20"/>
  <c r="K23" i="19"/>
  <c r="K51" i="19" s="1"/>
  <c r="L23" i="19"/>
  <c r="D19" i="20"/>
  <c r="F6" i="26"/>
  <c r="C53" i="19"/>
  <c r="C26" i="19"/>
  <c r="E26" i="19"/>
  <c r="E28" i="19" s="1"/>
  <c r="E51" i="19"/>
  <c r="J17" i="10"/>
  <c r="J16" i="10"/>
  <c r="I17" i="10"/>
  <c r="I16" i="10"/>
  <c r="K17" i="10"/>
  <c r="K16" i="10"/>
  <c r="M23" i="19"/>
  <c r="E25" i="20"/>
  <c r="N53" i="23"/>
  <c r="N66" i="23"/>
  <c r="F8" i="27"/>
  <c r="G8" i="27"/>
  <c r="N79" i="23"/>
  <c r="N40" i="23"/>
  <c r="N27" i="23"/>
  <c r="C22" i="10"/>
  <c r="E79" i="10"/>
  <c r="E80" i="10" s="1"/>
  <c r="I59" i="10"/>
  <c r="I64" i="10" s="1"/>
  <c r="E23" i="26"/>
  <c r="Y25" i="27" s="1"/>
  <c r="E16" i="26"/>
  <c r="I8" i="30" l="1"/>
  <c r="I9" i="30"/>
  <c r="I11" i="30"/>
  <c r="I24" i="30"/>
  <c r="I20" i="30"/>
  <c r="I19" i="30"/>
  <c r="I23" i="30"/>
  <c r="I25" i="30"/>
  <c r="I21" i="30"/>
  <c r="I14" i="30"/>
  <c r="I26" i="30"/>
  <c r="I22" i="30"/>
  <c r="I15" i="30"/>
  <c r="I27" i="30"/>
  <c r="I18" i="30"/>
  <c r="I7" i="30"/>
  <c r="I10" i="30"/>
  <c r="I16" i="30"/>
  <c r="I13" i="30"/>
  <c r="I17" i="30"/>
  <c r="J51" i="33"/>
  <c r="AJ24" i="27"/>
  <c r="O26" i="19"/>
  <c r="K52" i="19"/>
  <c r="K56" i="19" s="1"/>
  <c r="K25" i="19"/>
  <c r="C54" i="19"/>
  <c r="C56" i="19" s="1"/>
  <c r="C28" i="19"/>
  <c r="H52" i="33"/>
  <c r="E54" i="33"/>
  <c r="E29" i="33"/>
  <c r="I52" i="33"/>
  <c r="I56" i="33" s="1"/>
  <c r="J52" i="33"/>
  <c r="J56" i="33" s="1"/>
  <c r="D29" i="33"/>
  <c r="D54" i="33"/>
  <c r="D56" i="33" s="1"/>
  <c r="C54" i="33"/>
  <c r="C56" i="33" s="1"/>
  <c r="H56" i="33"/>
  <c r="AG28" i="27"/>
  <c r="F101" i="20"/>
  <c r="Z27" i="27"/>
  <c r="G161" i="20"/>
  <c r="G26" i="26"/>
  <c r="AL30" i="27" s="1"/>
  <c r="AJ30" i="27"/>
  <c r="Z23" i="27"/>
  <c r="Z31" i="27"/>
  <c r="G163" i="20"/>
  <c r="AH26" i="27"/>
  <c r="AG26" i="27"/>
  <c r="AH19" i="27"/>
  <c r="AG19" i="27"/>
  <c r="F143" i="20"/>
  <c r="F156" i="20"/>
  <c r="AJ21" i="27"/>
  <c r="AI21" i="27"/>
  <c r="G9" i="26"/>
  <c r="AL16" i="27" s="1"/>
  <c r="AJ16" i="27"/>
  <c r="F151" i="20"/>
  <c r="W6" i="31"/>
  <c r="AD6" i="31" s="1"/>
  <c r="T6" i="31"/>
  <c r="AH36" i="27"/>
  <c r="AG36" i="27"/>
  <c r="AH22" i="27"/>
  <c r="AG22" i="27"/>
  <c r="AH17" i="27"/>
  <c r="AG17" i="27"/>
  <c r="AG32" i="27"/>
  <c r="AC6" i="27"/>
  <c r="Y6" i="27"/>
  <c r="F129" i="20"/>
  <c r="J6" i="27"/>
  <c r="N6" i="27" s="1"/>
  <c r="R6" i="27" s="1"/>
  <c r="V6" i="27" s="1"/>
  <c r="G6" i="27"/>
  <c r="AK6" i="27" s="1"/>
  <c r="F95" i="20"/>
  <c r="E27" i="27"/>
  <c r="N16" i="26"/>
  <c r="E21" i="26"/>
  <c r="E31" i="27"/>
  <c r="C6" i="31"/>
  <c r="I4" i="10"/>
  <c r="B65" i="20"/>
  <c r="O6" i="26"/>
  <c r="B69" i="20"/>
  <c r="G6" i="31"/>
  <c r="M6" i="31" s="1"/>
  <c r="J6" i="31"/>
  <c r="P6" i="31" s="1"/>
  <c r="F123" i="20"/>
  <c r="F137" i="20"/>
  <c r="F109" i="20"/>
  <c r="C24" i="29"/>
  <c r="E29" i="19"/>
  <c r="D29" i="19"/>
  <c r="C43" i="29"/>
  <c r="C45" i="29" s="1"/>
  <c r="C48" i="29" s="1"/>
  <c r="N23" i="26"/>
  <c r="H13" i="26"/>
  <c r="I13" i="26" s="1"/>
  <c r="D33" i="29"/>
  <c r="D37" i="29" s="1"/>
  <c r="G57" i="20"/>
  <c r="K39" i="20"/>
  <c r="G51" i="20"/>
  <c r="D42" i="29"/>
  <c r="N32" i="27"/>
  <c r="N31" i="27" s="1"/>
  <c r="V32" i="27"/>
  <c r="V31" i="27" s="1"/>
  <c r="AD32" i="27"/>
  <c r="AD31" i="27" s="1"/>
  <c r="J32" i="27"/>
  <c r="J31" i="27" s="1"/>
  <c r="R32" i="27"/>
  <c r="R31" i="27" s="1"/>
  <c r="F32" i="27"/>
  <c r="G22" i="26"/>
  <c r="G50" i="20"/>
  <c r="K38" i="20"/>
  <c r="R28" i="27"/>
  <c r="R27" i="27" s="1"/>
  <c r="F28" i="27"/>
  <c r="N28" i="27"/>
  <c r="N27" i="27" s="1"/>
  <c r="V28" i="27"/>
  <c r="V27" i="27" s="1"/>
  <c r="AD28" i="27"/>
  <c r="AD27" i="27" s="1"/>
  <c r="J28" i="27"/>
  <c r="J27" i="27" s="1"/>
  <c r="G48" i="20"/>
  <c r="G10" i="26"/>
  <c r="N17" i="27"/>
  <c r="F17" i="27"/>
  <c r="R17" i="27"/>
  <c r="V17" i="27"/>
  <c r="AD17" i="27"/>
  <c r="J17" i="27"/>
  <c r="G11" i="26"/>
  <c r="AL18" i="27" s="1"/>
  <c r="L41" i="20"/>
  <c r="G55" i="20"/>
  <c r="D40" i="29"/>
  <c r="E23" i="27"/>
  <c r="G56" i="20"/>
  <c r="AC23" i="27"/>
  <c r="H39" i="27"/>
  <c r="L39" i="27"/>
  <c r="P39" i="27"/>
  <c r="T39" i="27"/>
  <c r="D44" i="29"/>
  <c r="D6" i="29"/>
  <c r="I45" i="29"/>
  <c r="C32" i="29"/>
  <c r="C39" i="29" s="1"/>
  <c r="K9" i="29"/>
  <c r="D41" i="29"/>
  <c r="G6" i="26"/>
  <c r="G12" i="26"/>
  <c r="AA19" i="27" s="1"/>
  <c r="R19" i="27"/>
  <c r="AD19" i="27"/>
  <c r="J19" i="27"/>
  <c r="N19" i="27"/>
  <c r="V19" i="27"/>
  <c r="F19" i="27"/>
  <c r="C37" i="29"/>
  <c r="G15" i="26"/>
  <c r="AA22" i="27" s="1"/>
  <c r="N22" i="27"/>
  <c r="R22" i="27"/>
  <c r="V22" i="27"/>
  <c r="F22" i="27"/>
  <c r="AD22" i="27"/>
  <c r="J22" i="27"/>
  <c r="U23" i="27"/>
  <c r="Q23" i="27"/>
  <c r="M23" i="27"/>
  <c r="I23" i="27"/>
  <c r="W21" i="27"/>
  <c r="O21" i="27"/>
  <c r="G21" i="27"/>
  <c r="AE21" i="27"/>
  <c r="S21" i="27"/>
  <c r="K21" i="27"/>
  <c r="AD36" i="27"/>
  <c r="J36" i="27"/>
  <c r="N36" i="27"/>
  <c r="R36" i="27"/>
  <c r="F36" i="27"/>
  <c r="V36" i="27"/>
  <c r="G28" i="26"/>
  <c r="G27" i="26"/>
  <c r="AA32" i="27" s="1"/>
  <c r="G24" i="26"/>
  <c r="F26" i="27"/>
  <c r="N26" i="27"/>
  <c r="AD26" i="27"/>
  <c r="R26" i="27"/>
  <c r="J26" i="27"/>
  <c r="V26" i="27"/>
  <c r="M25" i="27"/>
  <c r="AC25" i="27"/>
  <c r="I25" i="27"/>
  <c r="U25" i="27"/>
  <c r="Q25" i="27"/>
  <c r="E25" i="27"/>
  <c r="I6" i="30"/>
  <c r="J5" i="30"/>
  <c r="G18" i="26"/>
  <c r="G33" i="26"/>
  <c r="G35" i="26"/>
  <c r="K36" i="20"/>
  <c r="G20" i="26"/>
  <c r="H39" i="26"/>
  <c r="I39" i="26" s="1"/>
  <c r="L43" i="20"/>
  <c r="G31" i="26"/>
  <c r="AA36" i="27" s="1"/>
  <c r="H34" i="26"/>
  <c r="I34" i="26" s="1"/>
  <c r="G40" i="26"/>
  <c r="G29" i="26"/>
  <c r="H14" i="26"/>
  <c r="I14" i="26" s="1"/>
  <c r="L42" i="20"/>
  <c r="E54" i="19"/>
  <c r="E56" i="19" s="1"/>
  <c r="D39" i="27"/>
  <c r="L52" i="19"/>
  <c r="M52" i="19"/>
  <c r="L51" i="19"/>
  <c r="G25" i="26"/>
  <c r="AA28" i="27" s="1"/>
  <c r="F16" i="26"/>
  <c r="F21" i="26" s="1"/>
  <c r="F23" i="26"/>
  <c r="Z25" i="27" s="1"/>
  <c r="G44" i="27"/>
  <c r="D54" i="19"/>
  <c r="D56" i="19" s="1"/>
  <c r="M51" i="19"/>
  <c r="P26" i="19" l="1"/>
  <c r="L56" i="19"/>
  <c r="M56" i="19"/>
  <c r="E56" i="33"/>
  <c r="H9" i="26"/>
  <c r="I9" i="26" s="1"/>
  <c r="F87" i="20"/>
  <c r="G115" i="20"/>
  <c r="G143" i="20"/>
  <c r="V6" i="31"/>
  <c r="AB6" i="31" s="1"/>
  <c r="S6" i="31"/>
  <c r="H26" i="26"/>
  <c r="I26" i="26" s="1"/>
  <c r="H28" i="26"/>
  <c r="I28" i="26" s="1"/>
  <c r="AL34" i="27"/>
  <c r="AA17" i="27"/>
  <c r="AA23" i="27" s="1"/>
  <c r="K17" i="27"/>
  <c r="H161" i="20"/>
  <c r="AA27" i="27"/>
  <c r="AJ26" i="27"/>
  <c r="AI26" i="27"/>
  <c r="AG25" i="27"/>
  <c r="AH25" i="27"/>
  <c r="H24" i="26"/>
  <c r="I24" i="26" s="1"/>
  <c r="AA26" i="27"/>
  <c r="AJ36" i="27"/>
  <c r="AI36" i="27"/>
  <c r="AL21" i="27"/>
  <c r="AK21" i="27"/>
  <c r="AJ19" i="27"/>
  <c r="AI19" i="27"/>
  <c r="AJ17" i="27"/>
  <c r="AI17" i="27"/>
  <c r="G101" i="20"/>
  <c r="AI28" i="27"/>
  <c r="H22" i="26"/>
  <c r="I22" i="26" s="1"/>
  <c r="AL24" i="27"/>
  <c r="AH27" i="27"/>
  <c r="AD6" i="27"/>
  <c r="Z6" i="27"/>
  <c r="AA31" i="27"/>
  <c r="H163" i="20"/>
  <c r="AJ22" i="27"/>
  <c r="AI22" i="27"/>
  <c r="AI32" i="27"/>
  <c r="AG31" i="27"/>
  <c r="AH31" i="27"/>
  <c r="AG27" i="27"/>
  <c r="G156" i="20"/>
  <c r="G129" i="20"/>
  <c r="AH23" i="27"/>
  <c r="AG23" i="27"/>
  <c r="K6" i="27"/>
  <c r="O6" i="27" s="1"/>
  <c r="S6" i="27" s="1"/>
  <c r="W6" i="27" s="1"/>
  <c r="F27" i="27"/>
  <c r="AI27" i="27" s="1"/>
  <c r="I6" i="31"/>
  <c r="O6" i="31" s="1"/>
  <c r="F6" i="31"/>
  <c r="L6" i="31" s="1"/>
  <c r="P6" i="26"/>
  <c r="B70" i="20"/>
  <c r="F31" i="27"/>
  <c r="G151" i="20"/>
  <c r="G137" i="20"/>
  <c r="G123" i="20"/>
  <c r="G109" i="20"/>
  <c r="G95" i="20"/>
  <c r="N42" i="20"/>
  <c r="H51" i="20"/>
  <c r="H57" i="20"/>
  <c r="D43" i="29"/>
  <c r="D45" i="29" s="1"/>
  <c r="D48" i="29" s="1"/>
  <c r="D50" i="29" s="1"/>
  <c r="G49" i="20"/>
  <c r="K37" i="20"/>
  <c r="E42" i="29"/>
  <c r="S32" i="27"/>
  <c r="S31" i="27" s="1"/>
  <c r="W32" i="27"/>
  <c r="W31" i="27" s="1"/>
  <c r="G32" i="27"/>
  <c r="AE32" i="27"/>
  <c r="AE31" i="27" s="1"/>
  <c r="K32" i="27"/>
  <c r="K31" i="27" s="1"/>
  <c r="O32" i="27"/>
  <c r="O31" i="27" s="1"/>
  <c r="W28" i="27"/>
  <c r="W27" i="27" s="1"/>
  <c r="G28" i="27"/>
  <c r="O28" i="27"/>
  <c r="O27" i="27" s="1"/>
  <c r="AE28" i="27"/>
  <c r="AE27" i="27" s="1"/>
  <c r="K28" i="27"/>
  <c r="K27" i="27" s="1"/>
  <c r="S28" i="27"/>
  <c r="S27" i="27" s="1"/>
  <c r="H48" i="20"/>
  <c r="M38" i="20"/>
  <c r="H50" i="20"/>
  <c r="H56" i="20"/>
  <c r="H11" i="26"/>
  <c r="I11" i="26" s="1"/>
  <c r="H55" i="20"/>
  <c r="H10" i="26"/>
  <c r="I10" i="26" s="1"/>
  <c r="S17" i="27"/>
  <c r="O17" i="27"/>
  <c r="W17" i="27"/>
  <c r="G17" i="27"/>
  <c r="AE17" i="27"/>
  <c r="H6" i="26"/>
  <c r="Q6" i="26" s="1"/>
  <c r="J44" i="27"/>
  <c r="R46" i="27" s="1"/>
  <c r="AD23" i="27"/>
  <c r="C50" i="29"/>
  <c r="H12" i="26"/>
  <c r="I12" i="26" s="1"/>
  <c r="W19" i="27"/>
  <c r="G19" i="27"/>
  <c r="AE19" i="27"/>
  <c r="O19" i="27"/>
  <c r="S19" i="27"/>
  <c r="K19" i="27"/>
  <c r="I47" i="29"/>
  <c r="I49" i="29"/>
  <c r="I48" i="29"/>
  <c r="E44" i="29"/>
  <c r="J45" i="29"/>
  <c r="J48" i="29" s="1"/>
  <c r="E6" i="29"/>
  <c r="D32" i="29"/>
  <c r="D39" i="29" s="1"/>
  <c r="N41" i="20"/>
  <c r="E33" i="29"/>
  <c r="E40" i="29"/>
  <c r="E34" i="29"/>
  <c r="E41" i="29"/>
  <c r="K17" i="29"/>
  <c r="J9" i="29"/>
  <c r="L9" i="29"/>
  <c r="N23" i="27"/>
  <c r="J23" i="27"/>
  <c r="O46" i="27"/>
  <c r="F23" i="27"/>
  <c r="H15" i="26"/>
  <c r="I15" i="26" s="1"/>
  <c r="S22" i="27"/>
  <c r="W22" i="27"/>
  <c r="G22" i="27"/>
  <c r="AE22" i="27"/>
  <c r="K22" i="27"/>
  <c r="O22" i="27"/>
  <c r="V23" i="27"/>
  <c r="R23" i="27"/>
  <c r="O36" i="27"/>
  <c r="S36" i="27"/>
  <c r="G36" i="27"/>
  <c r="W36" i="27"/>
  <c r="AE36" i="27"/>
  <c r="K36" i="27"/>
  <c r="H27" i="26"/>
  <c r="I27" i="26" s="1"/>
  <c r="AE26" i="27"/>
  <c r="S26" i="27"/>
  <c r="K26" i="27"/>
  <c r="O26" i="27"/>
  <c r="W26" i="27"/>
  <c r="G26" i="27"/>
  <c r="AD25" i="27"/>
  <c r="J25" i="27"/>
  <c r="R25" i="27"/>
  <c r="F25" i="27"/>
  <c r="N25" i="27"/>
  <c r="V25" i="27"/>
  <c r="J6" i="30"/>
  <c r="N43" i="20"/>
  <c r="O16" i="26"/>
  <c r="G24" i="20"/>
  <c r="O50" i="19"/>
  <c r="H29" i="26"/>
  <c r="I29" i="26" s="1"/>
  <c r="M36" i="20"/>
  <c r="H20" i="26"/>
  <c r="I20" i="26" s="1"/>
  <c r="H35" i="26"/>
  <c r="I35" i="26" s="1"/>
  <c r="H33" i="26"/>
  <c r="I33" i="26" s="1"/>
  <c r="M39" i="20"/>
  <c r="H31" i="26"/>
  <c r="I31" i="26" s="1"/>
  <c r="H40" i="26"/>
  <c r="I40" i="26" s="1"/>
  <c r="H18" i="26"/>
  <c r="I18" i="26" s="1"/>
  <c r="K5" i="30"/>
  <c r="H25" i="26"/>
  <c r="I25" i="26" s="1"/>
  <c r="H8" i="26"/>
  <c r="G16" i="26"/>
  <c r="G21" i="26" s="1"/>
  <c r="G23" i="26"/>
  <c r="H115" i="20" l="1"/>
  <c r="H109" i="20"/>
  <c r="G87" i="20"/>
  <c r="AJ27" i="27"/>
  <c r="AE6" i="27"/>
  <c r="AA6" i="27"/>
  <c r="AK36" i="27"/>
  <c r="AL36" i="27"/>
  <c r="U6" i="31"/>
  <c r="Z6" i="31" s="1"/>
  <c r="R6" i="31"/>
  <c r="AK28" i="27"/>
  <c r="AJ31" i="27"/>
  <c r="AI31" i="27"/>
  <c r="H156" i="20"/>
  <c r="AL22" i="27"/>
  <c r="AK22" i="27"/>
  <c r="AL19" i="27"/>
  <c r="AK19" i="27"/>
  <c r="E43" i="29"/>
  <c r="E45" i="29" s="1"/>
  <c r="E48" i="29" s="1"/>
  <c r="AA25" i="27"/>
  <c r="AJ25" i="27"/>
  <c r="AI25" i="27"/>
  <c r="AL26" i="27"/>
  <c r="AK26" i="27"/>
  <c r="AL17" i="27"/>
  <c r="AK17" i="27"/>
  <c r="H101" i="20"/>
  <c r="H143" i="20"/>
  <c r="AK32" i="27"/>
  <c r="H129" i="20"/>
  <c r="AI23" i="27"/>
  <c r="AJ23" i="27"/>
  <c r="G27" i="27"/>
  <c r="AL27" i="27" s="1"/>
  <c r="G31" i="27"/>
  <c r="H151" i="20"/>
  <c r="H95" i="20"/>
  <c r="H123" i="20"/>
  <c r="H137" i="20"/>
  <c r="M37" i="20"/>
  <c r="H49" i="20"/>
  <c r="I6" i="26"/>
  <c r="R6" i="26" s="1"/>
  <c r="S23" i="27"/>
  <c r="AE23" i="27"/>
  <c r="E37" i="29"/>
  <c r="G23" i="27"/>
  <c r="G25" i="19"/>
  <c r="G18" i="20" s="1"/>
  <c r="E51" i="29"/>
  <c r="I9" i="29"/>
  <c r="J17" i="29"/>
  <c r="K45" i="29"/>
  <c r="E32" i="29"/>
  <c r="E39" i="29" s="1"/>
  <c r="J47" i="29"/>
  <c r="J49" i="29"/>
  <c r="M9" i="29"/>
  <c r="M17" i="29" s="1"/>
  <c r="L17" i="29"/>
  <c r="I51" i="29"/>
  <c r="C9" i="29" s="1"/>
  <c r="F25" i="19"/>
  <c r="D51" i="29"/>
  <c r="D52" i="29" s="1"/>
  <c r="D10" i="29" s="1"/>
  <c r="C52" i="29"/>
  <c r="C10" i="29" s="1"/>
  <c r="K23" i="27"/>
  <c r="W23" i="27"/>
  <c r="O23" i="27"/>
  <c r="W25" i="27"/>
  <c r="AE25" i="27"/>
  <c r="S25" i="27"/>
  <c r="G25" i="27"/>
  <c r="O25" i="27"/>
  <c r="K25" i="27"/>
  <c r="K6" i="30"/>
  <c r="P16" i="26"/>
  <c r="P50" i="19"/>
  <c r="H24" i="20"/>
  <c r="I8" i="26"/>
  <c r="I16" i="26" s="1"/>
  <c r="I21" i="26" s="1"/>
  <c r="H16" i="26"/>
  <c r="H21" i="26" s="1"/>
  <c r="H23" i="26"/>
  <c r="AL31" i="27" l="1"/>
  <c r="AK31" i="27"/>
  <c r="H87" i="20"/>
  <c r="AK27" i="27"/>
  <c r="AL25" i="27"/>
  <c r="AK25" i="27"/>
  <c r="AK23" i="27"/>
  <c r="AL23" i="27"/>
  <c r="Q16" i="26"/>
  <c r="C11" i="29"/>
  <c r="E50" i="29"/>
  <c r="H25" i="19" s="1"/>
  <c r="H18" i="20" s="1"/>
  <c r="K49" i="29"/>
  <c r="K47" i="29"/>
  <c r="K48" i="29"/>
  <c r="F18" i="20"/>
  <c r="H9" i="29"/>
  <c r="H17" i="29" s="1"/>
  <c r="I17" i="29"/>
  <c r="J51" i="29"/>
  <c r="D9" i="29" s="1"/>
  <c r="D11" i="29" s="1"/>
  <c r="R16" i="26"/>
  <c r="I23" i="26"/>
  <c r="K51" i="29" l="1"/>
  <c r="E9" i="29" s="1"/>
  <c r="E52" i="29"/>
  <c r="E10" i="29" s="1"/>
  <c r="J34" i="30"/>
  <c r="F30" i="26" s="1"/>
  <c r="Z35" i="27" s="1"/>
  <c r="G157" i="20" l="1"/>
  <c r="G164" i="20"/>
  <c r="Z37" i="27"/>
  <c r="Z39" i="27" s="1"/>
  <c r="E11" i="29"/>
  <c r="F32" i="26"/>
  <c r="O27" i="19" s="1"/>
  <c r="J35" i="27"/>
  <c r="G102" i="20" s="1"/>
  <c r="AD35" i="27"/>
  <c r="AD37" i="27" s="1"/>
  <c r="AD39" i="27" s="1"/>
  <c r="V35" i="27"/>
  <c r="G144" i="20" s="1"/>
  <c r="R35" i="27"/>
  <c r="G130" i="20" s="1"/>
  <c r="F35" i="27"/>
  <c r="N35" i="27"/>
  <c r="G116" i="20" s="1"/>
  <c r="I34" i="30"/>
  <c r="E30" i="26" s="1"/>
  <c r="K34" i="30"/>
  <c r="G30" i="26" s="1"/>
  <c r="G94" i="25" l="1"/>
  <c r="G95" i="25"/>
  <c r="G96" i="25"/>
  <c r="AJ35" i="27"/>
  <c r="AI35" i="27"/>
  <c r="P30" i="26"/>
  <c r="AA35" i="27"/>
  <c r="F36" i="26"/>
  <c r="F38" i="26" s="1"/>
  <c r="G88" i="20"/>
  <c r="F37" i="26"/>
  <c r="O35" i="27"/>
  <c r="H116" i="20" s="1"/>
  <c r="G35" i="27"/>
  <c r="W35" i="27"/>
  <c r="H144" i="20" s="1"/>
  <c r="AE35" i="27"/>
  <c r="AE37" i="27" s="1"/>
  <c r="AE39" i="27" s="1"/>
  <c r="S35" i="27"/>
  <c r="H130" i="20" s="1"/>
  <c r="K35" i="27"/>
  <c r="V37" i="27"/>
  <c r="G88" i="25" s="1"/>
  <c r="N37" i="27"/>
  <c r="G66" i="25" s="1"/>
  <c r="F37" i="27"/>
  <c r="J37" i="27"/>
  <c r="G56" i="25" s="1"/>
  <c r="R37" i="27"/>
  <c r="H30" i="26"/>
  <c r="G32" i="26"/>
  <c r="P27" i="19" s="1"/>
  <c r="H164" i="20" l="1"/>
  <c r="H157" i="20"/>
  <c r="AA37" i="27"/>
  <c r="AA39" i="27" s="1"/>
  <c r="AL35" i="27"/>
  <c r="AK35" i="27"/>
  <c r="G78" i="25"/>
  <c r="AI37" i="27"/>
  <c r="AJ37" i="27"/>
  <c r="L10" i="29"/>
  <c r="L12" i="29" s="1"/>
  <c r="D18" i="29" s="1"/>
  <c r="D20" i="29" s="1"/>
  <c r="D22" i="29" s="1"/>
  <c r="G47" i="25"/>
  <c r="G36" i="26"/>
  <c r="G38" i="26" s="1"/>
  <c r="N39" i="27"/>
  <c r="G64" i="25" s="1"/>
  <c r="J39" i="27"/>
  <c r="H88" i="20"/>
  <c r="G25" i="20"/>
  <c r="H102" i="20"/>
  <c r="R39" i="27"/>
  <c r="G76" i="25" s="1"/>
  <c r="V39" i="27"/>
  <c r="O23" i="19"/>
  <c r="I74" i="10"/>
  <c r="G74" i="10"/>
  <c r="N27" i="19" s="1"/>
  <c r="W37" i="27"/>
  <c r="K37" i="27"/>
  <c r="G37" i="27"/>
  <c r="F39" i="27"/>
  <c r="S37" i="27"/>
  <c r="O37" i="27"/>
  <c r="I30" i="26"/>
  <c r="I32" i="26" s="1"/>
  <c r="H32" i="26"/>
  <c r="O24" i="19"/>
  <c r="O25" i="19" s="1"/>
  <c r="G37" i="26"/>
  <c r="P32" i="26"/>
  <c r="G78" i="10" l="1"/>
  <c r="H94" i="25"/>
  <c r="H96" i="25"/>
  <c r="H95" i="25"/>
  <c r="O30" i="26"/>
  <c r="Y35" i="27"/>
  <c r="AL37" i="27"/>
  <c r="AK37" i="27"/>
  <c r="G86" i="25"/>
  <c r="AJ39" i="27"/>
  <c r="Q32" i="26"/>
  <c r="H36" i="26"/>
  <c r="H38" i="26" s="1"/>
  <c r="I37" i="26"/>
  <c r="I36" i="26"/>
  <c r="I38" i="26" s="1"/>
  <c r="I79" i="10"/>
  <c r="I80" i="10" s="1"/>
  <c r="I78" i="10"/>
  <c r="H47" i="25"/>
  <c r="G54" i="25"/>
  <c r="AI39" i="27"/>
  <c r="O39" i="27"/>
  <c r="H63" i="25" s="1"/>
  <c r="H66" i="25"/>
  <c r="K39" i="27"/>
  <c r="H56" i="25"/>
  <c r="S39" i="27"/>
  <c r="H76" i="25" s="1"/>
  <c r="H78" i="25"/>
  <c r="W39" i="27"/>
  <c r="H88" i="25"/>
  <c r="G63" i="25"/>
  <c r="G53" i="25"/>
  <c r="G45" i="25"/>
  <c r="G75" i="25"/>
  <c r="G85" i="25"/>
  <c r="G44" i="25"/>
  <c r="G79" i="10"/>
  <c r="Q35" i="27"/>
  <c r="F130" i="20" s="1"/>
  <c r="E35" i="27"/>
  <c r="M35" i="27"/>
  <c r="F116" i="20" s="1"/>
  <c r="AC35" i="27"/>
  <c r="AC37" i="27" s="1"/>
  <c r="AC39" i="27" s="1"/>
  <c r="I35" i="27"/>
  <c r="F102" i="20" s="1"/>
  <c r="U35" i="27"/>
  <c r="F144" i="20" s="1"/>
  <c r="E32" i="26"/>
  <c r="G39" i="27"/>
  <c r="H25" i="20"/>
  <c r="P23" i="19"/>
  <c r="P51" i="19" s="1"/>
  <c r="M10" i="29"/>
  <c r="M12" i="29" s="1"/>
  <c r="E18" i="29" s="1"/>
  <c r="E20" i="29" s="1"/>
  <c r="E22" i="29" s="1"/>
  <c r="E23" i="29" s="1"/>
  <c r="P37" i="26"/>
  <c r="H37" i="26"/>
  <c r="R32" i="26"/>
  <c r="Y37" i="27" l="1"/>
  <c r="Y39" i="27" s="1"/>
  <c r="F157" i="20"/>
  <c r="AH35" i="27"/>
  <c r="AG35" i="27"/>
  <c r="H86" i="25"/>
  <c r="AL39" i="27"/>
  <c r="H85" i="25"/>
  <c r="N32" i="26"/>
  <c r="E36" i="26"/>
  <c r="E38" i="26" s="1"/>
  <c r="H54" i="25"/>
  <c r="AK39" i="27"/>
  <c r="H75" i="25"/>
  <c r="H53" i="25"/>
  <c r="H64" i="25"/>
  <c r="F88" i="20"/>
  <c r="H45" i="25"/>
  <c r="H44" i="25"/>
  <c r="E37" i="26"/>
  <c r="N37" i="26" s="1"/>
  <c r="O32" i="26"/>
  <c r="I37" i="27"/>
  <c r="F56" i="25" s="1"/>
  <c r="M37" i="27"/>
  <c r="F66" i="25" s="1"/>
  <c r="Q37" i="27"/>
  <c r="N23" i="19"/>
  <c r="F25" i="20"/>
  <c r="G80" i="10"/>
  <c r="N24" i="19" s="1"/>
  <c r="U37" i="27"/>
  <c r="F88" i="25" s="1"/>
  <c r="E37" i="27"/>
  <c r="P24" i="19"/>
  <c r="P25" i="19" s="1"/>
  <c r="P38" i="26"/>
  <c r="R37" i="26"/>
  <c r="R38" i="26"/>
  <c r="Q37" i="26"/>
  <c r="O52" i="19" l="1"/>
  <c r="N25" i="19"/>
  <c r="F94" i="25"/>
  <c r="F96" i="25"/>
  <c r="F95" i="25"/>
  <c r="F78" i="25"/>
  <c r="AG37" i="27"/>
  <c r="AH37" i="27"/>
  <c r="F47" i="25"/>
  <c r="M39" i="27"/>
  <c r="F64" i="25" s="1"/>
  <c r="N51" i="19"/>
  <c r="N56" i="19" s="1"/>
  <c r="O51" i="19"/>
  <c r="Q39" i="27"/>
  <c r="F76" i="25" s="1"/>
  <c r="I39" i="27"/>
  <c r="U39" i="27"/>
  <c r="E39" i="27"/>
  <c r="N52" i="19"/>
  <c r="O37" i="26"/>
  <c r="N38" i="26"/>
  <c r="Q38" i="26"/>
  <c r="P52" i="19"/>
  <c r="P56" i="19" s="1"/>
  <c r="O56" i="19" l="1"/>
  <c r="F86" i="25"/>
  <c r="AH39" i="27"/>
  <c r="F54" i="25"/>
  <c r="AG39" i="27"/>
  <c r="F63" i="25"/>
  <c r="F75" i="25"/>
  <c r="F53" i="25"/>
  <c r="F45" i="25"/>
  <c r="F85" i="25"/>
  <c r="F44" i="25"/>
  <c r="K10" i="29"/>
  <c r="K12" i="29" s="1"/>
  <c r="C18" i="29" s="1"/>
  <c r="C20" i="29" s="1"/>
  <c r="O38" i="26"/>
  <c r="C22" i="29" l="1"/>
  <c r="D23" i="29" s="1"/>
  <c r="F23" i="19"/>
  <c r="F50" i="19" s="1"/>
  <c r="F24" i="19" l="1"/>
  <c r="F27" i="19" s="1"/>
  <c r="F52" i="19" s="1"/>
  <c r="G23" i="19"/>
  <c r="G50" i="19" s="1"/>
  <c r="F16" i="20"/>
  <c r="G24" i="19" l="1"/>
  <c r="G27" i="19" s="1"/>
  <c r="G52" i="19" s="1"/>
  <c r="H23" i="19"/>
  <c r="H50" i="19" s="1"/>
  <c r="G16" i="20"/>
  <c r="F26" i="19"/>
  <c r="F28" i="19" s="1"/>
  <c r="F51" i="19"/>
  <c r="F17" i="20"/>
  <c r="F53" i="19"/>
  <c r="H24" i="19" l="1"/>
  <c r="H27" i="19" s="1"/>
  <c r="H52" i="19" s="1"/>
  <c r="G53" i="19"/>
  <c r="G17" i="20"/>
  <c r="G26" i="19"/>
  <c r="G28" i="19" s="1"/>
  <c r="G51" i="19"/>
  <c r="F54" i="19"/>
  <c r="F56" i="19" s="1"/>
  <c r="F19" i="20"/>
  <c r="H16" i="20"/>
  <c r="H26" i="19" l="1"/>
  <c r="H28" i="19" s="1"/>
  <c r="H17" i="20"/>
  <c r="H51" i="19"/>
  <c r="H53" i="19"/>
  <c r="G54" i="19"/>
  <c r="G56" i="19" s="1"/>
  <c r="G19" i="20"/>
  <c r="H54" i="19" l="1"/>
  <c r="H56" i="19" s="1"/>
  <c r="H19" i="20"/>
  <c r="C50" i="24"/>
  <c r="C46" i="24"/>
  <c r="C44" i="24"/>
  <c r="C45" i="24"/>
  <c r="C49" i="24"/>
  <c r="C47" i="24"/>
  <c r="C43" i="24"/>
  <c r="J14" i="23"/>
  <c r="N12" i="23" l="1"/>
  <c r="R8" i="31" s="1"/>
  <c r="N7" i="23"/>
  <c r="C8" i="31" s="1"/>
  <c r="C67" i="24"/>
  <c r="C70" i="24"/>
  <c r="C68" i="24"/>
  <c r="C66" i="24"/>
  <c r="C69" i="24"/>
  <c r="C65" i="24"/>
  <c r="N10" i="23"/>
  <c r="L8" i="31" s="1"/>
  <c r="N11" i="23"/>
  <c r="O8" i="31" s="1"/>
  <c r="C51" i="24"/>
  <c r="N13" i="23"/>
  <c r="U8" i="31" s="1"/>
  <c r="N8" i="23"/>
  <c r="F8" i="31" s="1"/>
  <c r="D62" i="24"/>
  <c r="D9" i="24"/>
  <c r="C64" i="24"/>
  <c r="N9" i="23"/>
  <c r="I8" i="31" s="1"/>
  <c r="N14" i="23" l="1"/>
</calcChain>
</file>

<file path=xl/comments1.xml><?xml version="1.0" encoding="utf-8"?>
<comments xmlns="http://schemas.openxmlformats.org/spreadsheetml/2006/main">
  <authors>
    <author>Astrid BLOMART</author>
  </authors>
  <commentList>
    <comment ref="A26" authorId="0">
      <text>
        <r>
          <rPr>
            <sz val="8"/>
            <color indexed="39"/>
            <rFont val="Tahoma"/>
            <family val="2"/>
          </rPr>
          <t xml:space="preserve">Cette information permet de proposer un calcul automatique pour le budget prévisionnel de l'année en cours dans l'onglet "3.Comptes passés &amp; en cours"
</t>
        </r>
      </text>
    </comment>
    <comment ref="D36" authorId="0">
      <text>
        <r>
          <rPr>
            <sz val="8"/>
            <color indexed="39"/>
            <rFont val="Tahoma"/>
            <family val="2"/>
          </rPr>
          <t>Part dans l'activité SAAD &amp; SAP, donc hors activités Soins (non pris en compte dans le total)</t>
        </r>
      </text>
    </comment>
  </commentList>
</comments>
</file>

<file path=xl/comments10.xml><?xml version="1.0" encoding="utf-8"?>
<comments xmlns="http://schemas.openxmlformats.org/spreadsheetml/2006/main">
  <authors>
    <author>Astrid BLOMART</author>
  </authors>
  <commentList>
    <comment ref="F22" authorId="0">
      <text>
        <r>
          <rPr>
            <sz val="8"/>
            <color indexed="12"/>
            <rFont val="Tahoma"/>
            <family val="2"/>
          </rPr>
          <t>Données prév. à interpréter après avoir renseigner le plan de financement</t>
        </r>
      </text>
    </comment>
    <comment ref="G22" authorId="0">
      <text>
        <r>
          <rPr>
            <sz val="8"/>
            <color indexed="12"/>
            <rFont val="Tahoma"/>
            <family val="2"/>
          </rPr>
          <t xml:space="preserve">Données prév. à interpréter après avoir renseigner le plan de financement
</t>
        </r>
      </text>
    </comment>
    <comment ref="H22" authorId="0">
      <text>
        <r>
          <rPr>
            <sz val="8"/>
            <color indexed="12"/>
            <rFont val="Tahoma"/>
            <family val="2"/>
          </rPr>
          <t xml:space="preserve">Données prév. à interpréter après avoir renseigner le plan de financement
</t>
        </r>
      </text>
    </comment>
    <comment ref="B23" authorId="0">
      <text>
        <r>
          <rPr>
            <sz val="9"/>
            <color indexed="12"/>
            <rFont val="Tahoma"/>
            <family val="2"/>
          </rPr>
          <t xml:space="preserve">Les Fonds Propres sont les ressources financières durables appartenant directement ou indirectement à la structure : capital ou fonds associatif, réserves et provisions réglementées, bénéfices, reports à nouveau, subventions d'investissement …
Leur fonction est d'assurer la stabilité financière de l'activité en la sécurisant, en la dotant de réserves nécessaires en cas d'aléas (pertes) éventuels et en lui procurant une capacité d'endettement afin de financer son développement. </t>
        </r>
      </text>
    </comment>
    <comment ref="J23" authorId="0">
      <text>
        <r>
          <rPr>
            <sz val="9"/>
            <color indexed="12"/>
            <rFont val="Tahoma"/>
            <family val="2"/>
          </rPr>
          <t>Le résultat d'exploitation est l'indicateur de viabilité du modèle économique.
Un résultat en déclin, même si il demeure positif, nécessite de s'interroger sur la pertinence de l'activité ou la mobilisation des partenaires.
Un résultat en croissance, peut nécessiter des besoins de financement pour les investissements et/ou la trésorerie.    
Un résultat stable n'a pas de raison d'interpeller, si les partenariats économiques et institutionnels sont pérennes.
Un résultat irrégulier nécessite de s'interroger sur la stabilité du modèle économique et des partenariats.</t>
        </r>
      </text>
    </comment>
    <comment ref="B24" authorId="0">
      <text>
        <r>
          <rPr>
            <sz val="9"/>
            <color indexed="12"/>
            <rFont val="Tahoma"/>
            <family val="2"/>
          </rPr>
          <t>Le fonds de roulement est la différence entre les ressources dites stables (les capitaux permanents) et les immobilisations (emplois stables). Positif, il permet de dégager des ressources pour le financement des besoins d'exploitation (ou BFR, Cf. ci-dessous).
Négatif, il traduit un déficit de ressources stables et donc un recours aux financements court terme pour le financement des emplois à plus d'un an.</t>
        </r>
      </text>
    </comment>
    <comment ref="B25" authorId="0">
      <text>
        <r>
          <rPr>
            <b/>
            <sz val="8"/>
            <color indexed="81"/>
            <rFont val="Tahoma"/>
            <family val="2"/>
          </rPr>
          <t>Le Besoin en Fonds de Roulement est le solde entre l'actif circulant et les dettes à moins d'un an. Il s'agit d'un Besoin si ce solde est positif puisque  les ressources ne couvrent pas les emplois (très souvent les créances), d'une Ressource si le solde est négatif. 
Pour analyser un Besoin en Fonds de Roulement, il est nécessaire d'en connaître la composition (cf. "délais de paiement et règlement" de l'onglet "12, Plan de financement"</t>
        </r>
        <r>
          <rPr>
            <sz val="8"/>
            <color indexed="81"/>
            <rFont val="Tahoma"/>
            <family val="2"/>
          </rPr>
          <t xml:space="preserve">
</t>
        </r>
      </text>
    </comment>
    <comment ref="F25" authorId="0">
      <text>
        <r>
          <rPr>
            <sz val="9"/>
            <color indexed="12"/>
            <rFont val="Tahoma"/>
            <family val="2"/>
          </rPr>
          <t xml:space="preserve">Le BFR pour les années prévisionnelles est calculé selon des "délais de paiement et de règlement" indiqués dans l'onglet "12. Plan de financement".
</t>
        </r>
      </text>
    </comment>
    <comment ref="G25" authorId="0">
      <text>
        <r>
          <rPr>
            <sz val="9"/>
            <color indexed="12"/>
            <rFont val="Tahoma"/>
            <family val="2"/>
          </rPr>
          <t xml:space="preserve">Le BFR pour les années prévisionnelles est calculé selon des "délais de paiement et de règlement" indiqués dans l'onglet "12. Plan de financement".
</t>
        </r>
      </text>
    </comment>
    <comment ref="H25" authorId="0">
      <text>
        <r>
          <rPr>
            <sz val="9"/>
            <color indexed="12"/>
            <rFont val="Tahoma"/>
            <family val="2"/>
          </rPr>
          <t xml:space="preserve">Le BFR pour les années prévisionnelles est calculé selon des "délais de paiement et de règlement" indiqués dans l'onglet "12. Plan de financement".
</t>
        </r>
      </text>
    </comment>
    <comment ref="J25" authorId="0">
      <text>
        <r>
          <rPr>
            <sz val="9"/>
            <color indexed="12"/>
            <rFont val="Tahoma"/>
            <family val="2"/>
          </rPr>
          <t>Rentabilité Nette = Résultat Net / Produits de l'exercice
Permet d'analyser le résultat en fonction du volume de l'activité. Exprime la capacité du niveau d'activité à dégager un certain niveau d'excédent</t>
        </r>
      </text>
    </comment>
    <comment ref="N25" authorId="0">
      <text>
        <r>
          <rPr>
            <sz val="9"/>
            <color indexed="12"/>
            <rFont val="Tahoma"/>
            <family val="2"/>
          </rPr>
          <t xml:space="preserve">La subvention exceptionnelle du Fonds de Restructuration n'est pas inclue dans le calcul
</t>
        </r>
      </text>
    </comment>
    <comment ref="O25" authorId="0">
      <text>
        <r>
          <rPr>
            <sz val="9"/>
            <color indexed="12"/>
            <rFont val="Tahoma"/>
            <family val="2"/>
          </rPr>
          <t xml:space="preserve">La subvention exceptionnelle du Fonds de Restructuration n'est pas inclue dans le calcul
</t>
        </r>
      </text>
    </comment>
    <comment ref="B26" authorId="0">
      <text>
        <r>
          <rPr>
            <sz val="9"/>
            <color indexed="12"/>
            <rFont val="Tahoma"/>
            <family val="2"/>
          </rPr>
          <t xml:space="preserve">La trésorerie nette est la différence entre le fonds de roulement et le besoin en fonds de roulement : c'est le cash dont on dispose au moment de l'établissement du bilan. La valeur de la trésorerie, quand elle est positive, donne peu d'indication en tant que telle. Elle s'apprécie avec les 2 indicateurs ci-dessous.
</t>
        </r>
      </text>
    </comment>
    <comment ref="J26" authorId="0">
      <text>
        <r>
          <rPr>
            <sz val="9"/>
            <color indexed="12"/>
            <rFont val="Tahoma"/>
            <family val="2"/>
          </rPr>
          <t>= (Chiffre d'affaires - Coûts variables) / Chiffre d'affaires
Taux MCV : pourcentage minimum de Chiffre d'affaires qui permet d'absober les coûts fixes
NB : CA = facturation 1/3 payeur + participation des usagers</t>
        </r>
      </text>
    </comment>
    <comment ref="B27" authorId="0">
      <text>
        <r>
          <rPr>
            <sz val="8"/>
            <color indexed="12"/>
            <rFont val="Tahoma"/>
            <family val="2"/>
          </rPr>
          <t xml:space="preserve"> = Trésorerie / (Charges d'exploitation - Dotation aux amortissements) * 360.
Calcule le nombre de jours d'activité couvert par la trésorerie. On peut dire que la trésorerie est précaire en deça de 30 jours.
</t>
        </r>
      </text>
    </comment>
    <comment ref="J27" authorId="0">
      <text>
        <r>
          <rPr>
            <sz val="9"/>
            <color indexed="12"/>
            <rFont val="Tahoma"/>
            <family val="2"/>
          </rPr>
          <t>= Coûts Fixes / (MCV / Chriffre d'affaires)
Le Seuil de Rentabilité est le niveau minimum de Chiffre d'affaires à atteindre pour que la structure commence à être rentable.
NB : CA = facturation 1/3 payeur + participation des usagers</t>
        </r>
      </text>
    </comment>
    <comment ref="B28" authorId="0">
      <text>
        <r>
          <rPr>
            <sz val="9"/>
            <color indexed="12"/>
            <rFont val="Tahoma"/>
            <family val="2"/>
          </rPr>
          <t>= Trésorerie / Toutes les dettes court terme * 365.
% des dettes Court Terme couvert par la trésorerie nette.  Il s'agit de mesurer la capacité de la structure à honorer les dettes exigibles immédiatement.</t>
        </r>
        <r>
          <rPr>
            <sz val="8"/>
            <color indexed="12"/>
            <rFont val="Tahoma"/>
            <family val="2"/>
          </rPr>
          <t xml:space="preserve">
</t>
        </r>
      </text>
    </comment>
    <comment ref="B29" authorId="0">
      <text>
        <r>
          <rPr>
            <sz val="8"/>
            <color indexed="12"/>
            <rFont val="Tahoma"/>
            <family val="2"/>
          </rPr>
          <t xml:space="preserve">Vérifie si la Trésorerie Nette est bien égale aux "Disponibilités et VMP" au bilan
</t>
        </r>
      </text>
    </comment>
    <comment ref="B50" authorId="0">
      <text>
        <r>
          <rPr>
            <sz val="9"/>
            <color indexed="12"/>
            <rFont val="Tahoma"/>
            <family val="2"/>
          </rPr>
          <t>Alerte en cas de Fonds Propres négatifs et/ou de diminution de plus de 30%</t>
        </r>
        <r>
          <rPr>
            <sz val="8"/>
            <color indexed="12"/>
            <rFont val="Tahoma"/>
            <family val="2"/>
          </rPr>
          <t xml:space="preserve">
</t>
        </r>
      </text>
    </comment>
    <comment ref="J50" authorId="0">
      <text>
        <r>
          <rPr>
            <sz val="9"/>
            <color indexed="12"/>
            <rFont val="Tahoma"/>
            <family val="2"/>
          </rPr>
          <t>Alerte en cas d'évolution négative</t>
        </r>
        <r>
          <rPr>
            <sz val="8"/>
            <color indexed="12"/>
            <rFont val="Tahoma"/>
            <family val="2"/>
          </rPr>
          <t xml:space="preserve">
</t>
        </r>
      </text>
    </comment>
    <comment ref="B51" authorId="0">
      <text>
        <r>
          <rPr>
            <sz val="9"/>
            <color indexed="12"/>
            <rFont val="Tahoma"/>
            <family val="2"/>
          </rPr>
          <t>Alerte en cas de FR &lt; à 2 mois de masse salariale</t>
        </r>
      </text>
    </comment>
    <comment ref="J51" authorId="0">
      <text>
        <r>
          <rPr>
            <sz val="9"/>
            <color indexed="12"/>
            <rFont val="Tahoma"/>
            <family val="2"/>
          </rPr>
          <t>Alerte en cas de résultat négatif et/ou inférieur à celui de l'année précédente</t>
        </r>
        <r>
          <rPr>
            <sz val="8"/>
            <color indexed="12"/>
            <rFont val="Tahoma"/>
            <family val="2"/>
          </rPr>
          <t xml:space="preserve">
</t>
        </r>
      </text>
    </comment>
    <comment ref="B52" authorId="0">
      <text>
        <r>
          <rPr>
            <sz val="9"/>
            <color indexed="12"/>
            <rFont val="Tahoma"/>
            <family val="2"/>
          </rPr>
          <t>Alerte en cas de diminution</t>
        </r>
        <r>
          <rPr>
            <sz val="8"/>
            <color indexed="12"/>
            <rFont val="Tahoma"/>
            <family val="2"/>
          </rPr>
          <t xml:space="preserve">
</t>
        </r>
      </text>
    </comment>
    <comment ref="J52" authorId="0">
      <text>
        <r>
          <rPr>
            <sz val="9"/>
            <color indexed="12"/>
            <rFont val="Tahoma"/>
            <family val="2"/>
          </rPr>
          <t>Alerte en cas de résultat négatif et/ou inférieur à celui de l'année précédente</t>
        </r>
      </text>
    </comment>
    <comment ref="B53" authorId="0">
      <text>
        <r>
          <rPr>
            <sz val="9"/>
            <color indexed="12"/>
            <rFont val="Tahoma"/>
            <family val="2"/>
          </rPr>
          <t>Alerte si  BFR  &gt; FR</t>
        </r>
        <r>
          <rPr>
            <sz val="8"/>
            <color indexed="12"/>
            <rFont val="Tahoma"/>
            <family val="2"/>
          </rPr>
          <t xml:space="preserve">
</t>
        </r>
      </text>
    </comment>
    <comment ref="B54" authorId="0">
      <text>
        <r>
          <rPr>
            <sz val="9"/>
            <color indexed="12"/>
            <rFont val="Tahoma"/>
            <family val="2"/>
          </rPr>
          <t>Alerte en cas de Trésorerie négative et/ou de diminution</t>
        </r>
        <r>
          <rPr>
            <sz val="8"/>
            <color indexed="12"/>
            <rFont val="Tahoma"/>
            <family val="2"/>
          </rPr>
          <t xml:space="preserve">
</t>
        </r>
      </text>
    </comment>
    <comment ref="B77" authorId="0">
      <text>
        <r>
          <rPr>
            <sz val="8"/>
            <color indexed="12"/>
            <rFont val="Tahoma"/>
            <family val="2"/>
          </rPr>
          <t xml:space="preserve">Commenter les évolutions constatées et la stratégie à venir de l'organisation par rapport à sa situation passée. 
</t>
        </r>
      </text>
    </comment>
  </commentList>
</comments>
</file>

<file path=xl/comments11.xml><?xml version="1.0" encoding="utf-8"?>
<comments xmlns="http://schemas.openxmlformats.org/spreadsheetml/2006/main">
  <authors>
    <author>Astrid BLOMART</author>
  </authors>
  <commentList>
    <comment ref="B23" authorId="0">
      <text>
        <r>
          <rPr>
            <sz val="9"/>
            <color indexed="12"/>
            <rFont val="Tahoma"/>
            <family val="2"/>
          </rPr>
          <t xml:space="preserve">Les Fonds Propres sont les ressources financières durables appartenant directement ou indirectement à la structure : capital ou fonds associatif, réserves et provisions réglementées, bénéfices, reports à nouveau, subventions d'investissement …
Leur fonction est d'assurer la stabilité financière de l'activité en la sécurisant, en la dotant de réserves nécessaires en cas d'aléas (pertes) éventuels et en lui procurant une capacité d'endettement afin de financer son développement. </t>
        </r>
      </text>
    </comment>
    <comment ref="G23" authorId="0">
      <text>
        <r>
          <rPr>
            <sz val="9"/>
            <color indexed="12"/>
            <rFont val="Tahoma"/>
            <family val="2"/>
          </rPr>
          <t>Le résultat d'exploitation est l'indicateur de viabilité du modèle économique.
Un résultat en déclin, même si il demeure positif, nécessite de s'interroger sur la pertinence de l'activité ou la mobilisation des partenaires.
Un résultat en croissance, peut nécessiter des besoins de financement pour les investissements et/ou la trésorerie.    
Un résultat stable n'a pas de raison d'interpeller, si les partenariats économiques et institutionnels sont pérennes.
Un résultat irrégulier nécessite de s'interroger sur la stabilité du modèle économique et des partenariats.</t>
        </r>
      </text>
    </comment>
    <comment ref="B24" authorId="0">
      <text>
        <r>
          <rPr>
            <sz val="9"/>
            <color indexed="12"/>
            <rFont val="Tahoma"/>
            <family val="2"/>
          </rPr>
          <t>Le fonds de roulement est la différence entre les ressources dites stables (les capitaux permanents) et les immobilisations (emplois stables). Positif, il permet de dégager des ressources pour le financement des besoins d'exploitation (ou BFR, Cf. ci-dessous).
Négatif, il traduit un déficit de ressources stables et donc un recours aux financements court terme pour le financement des emplois à plus d'un an.</t>
        </r>
      </text>
    </comment>
    <comment ref="B25" authorId="0">
      <text>
        <r>
          <rPr>
            <sz val="9"/>
            <color indexed="12"/>
            <rFont val="Tahoma"/>
            <family val="2"/>
          </rPr>
          <t xml:space="preserve">Le Besoin en Fonds de Roulement est le solde entre l'actif circulant et les dettes à moins d'un an. Il s'agit d'un Besoin si ce solde est positif puisque  les ressources ne couvrent pas les emplois (très souvent les créances), d'une Ressource si le solde est négatif. 
Pour analyser un Besoin en Fonds de Roulement, il est nécessaire d'en connaître la composition (cf. "délais de paiement et règlement" de l'onglet "12, Plan de financement"
</t>
        </r>
      </text>
    </comment>
    <comment ref="G25" authorId="0">
      <text>
        <r>
          <rPr>
            <sz val="9"/>
            <color indexed="12"/>
            <rFont val="Tahoma"/>
            <family val="2"/>
          </rPr>
          <t>Rentabilité Nette = Résultat Net / Produits de l'exercice
Permet d'analyser le résultat en fonction du volume de l'activité. Exprime la capacité du niveau d'activité à dégager un certain niveau d'excédent</t>
        </r>
      </text>
    </comment>
    <comment ref="B26" authorId="0">
      <text>
        <r>
          <rPr>
            <sz val="9"/>
            <color indexed="12"/>
            <rFont val="Tahoma"/>
            <family val="2"/>
          </rPr>
          <t xml:space="preserve">La trésorerie nette est la différence entre le fonds de roulement et le besoin en fonds de roulement : c'est le cash dont on dispose au moment de l'établissement du bilan. La valeur de la trésorerie, quand elle est positive, donne peu d'indication en tant que telle. Elle s'apprécie avec les 2 indicateurs ci-dessous.
</t>
        </r>
      </text>
    </comment>
    <comment ref="G26" authorId="0">
      <text>
        <r>
          <rPr>
            <sz val="9"/>
            <color indexed="12"/>
            <rFont val="Tahoma"/>
            <family val="2"/>
          </rPr>
          <t>= (Chiffre d'affaires - Coûts variables) / Chiffre d'affaires
Taux MCV : pourcentage minimum de Chiffre d'affaires qui permet d'absober les coûts fixes
NB : CA = facturation 1/3 payeur + participation des usagers</t>
        </r>
      </text>
    </comment>
    <comment ref="B27" authorId="0">
      <text>
        <r>
          <rPr>
            <sz val="8"/>
            <color indexed="12"/>
            <rFont val="Tahoma"/>
            <family val="2"/>
          </rPr>
          <t xml:space="preserve"> = Trésorerie / (Charges d'exploitation - Dotation aux amortissements) * 360.
Calcule le nombre de jours d'activité couvert par la trésorerie. On peut dire que la trésorerie est précaire en deça de 30 jours.
</t>
        </r>
      </text>
    </comment>
    <comment ref="G27" authorId="0">
      <text>
        <r>
          <rPr>
            <sz val="9"/>
            <color indexed="12"/>
            <rFont val="Tahoma"/>
            <family val="2"/>
          </rPr>
          <t>= Coûts Fixes / (MCV / Chriffre d'affaires)
Le Seuil de Rentabilité est le niveau minimum de Chiffre d'affaires à atteindre pour que la structure commence à être rentable.
NB : CA = facturation 1/3 payeur + participation des usagers</t>
        </r>
      </text>
    </comment>
    <comment ref="B28" authorId="0">
      <text>
        <r>
          <rPr>
            <sz val="9"/>
            <color indexed="12"/>
            <rFont val="Tahoma"/>
            <family val="2"/>
          </rPr>
          <t>= Trésorerie / Toutes les dettes court terme * 365.
% des dettes Court Terme couvert par la trésorerie nette.  Il s'agit de mesurer la capacité de la structure à honorer les dettes exigibles immédiatement.</t>
        </r>
        <r>
          <rPr>
            <sz val="8"/>
            <color indexed="12"/>
            <rFont val="Tahoma"/>
            <family val="2"/>
          </rPr>
          <t xml:space="preserve">
</t>
        </r>
      </text>
    </comment>
    <comment ref="B29" authorId="0">
      <text>
        <r>
          <rPr>
            <sz val="8"/>
            <color indexed="12"/>
            <rFont val="Tahoma"/>
            <family val="2"/>
          </rPr>
          <t xml:space="preserve">Vérifie si la Trésorerie Nette est bien égale aux "Disponibilités et VMP" au bilan
</t>
        </r>
      </text>
    </comment>
    <comment ref="B50" authorId="0">
      <text>
        <r>
          <rPr>
            <sz val="9"/>
            <color indexed="12"/>
            <rFont val="Tahoma"/>
            <family val="2"/>
          </rPr>
          <t>Alerte en cas de Fonds Propres négatifs et/ou de diminution de plus de 30%</t>
        </r>
        <r>
          <rPr>
            <sz val="8"/>
            <color indexed="12"/>
            <rFont val="Tahoma"/>
            <family val="2"/>
          </rPr>
          <t xml:space="preserve">
</t>
        </r>
      </text>
    </comment>
    <comment ref="G50" authorId="0">
      <text>
        <r>
          <rPr>
            <sz val="9"/>
            <color indexed="12"/>
            <rFont val="Tahoma"/>
            <family val="2"/>
          </rPr>
          <t>Alerte en cas d'évolution négative</t>
        </r>
        <r>
          <rPr>
            <sz val="8"/>
            <color indexed="12"/>
            <rFont val="Tahoma"/>
            <family val="2"/>
          </rPr>
          <t xml:space="preserve">
</t>
        </r>
      </text>
    </comment>
    <comment ref="B51" authorId="0">
      <text>
        <r>
          <rPr>
            <sz val="9"/>
            <color indexed="12"/>
            <rFont val="Tahoma"/>
            <family val="2"/>
          </rPr>
          <t>Alerte en cas de FR &lt; à 2 mois de masse salariale</t>
        </r>
      </text>
    </comment>
    <comment ref="G51" authorId="0">
      <text>
        <r>
          <rPr>
            <sz val="9"/>
            <color indexed="12"/>
            <rFont val="Tahoma"/>
            <family val="2"/>
          </rPr>
          <t>Alerte en cas de résultat négatif et/ou inférieur à celui de l'année précédente</t>
        </r>
        <r>
          <rPr>
            <sz val="8"/>
            <color indexed="12"/>
            <rFont val="Tahoma"/>
            <family val="2"/>
          </rPr>
          <t xml:space="preserve">
</t>
        </r>
      </text>
    </comment>
    <comment ref="B52" authorId="0">
      <text>
        <r>
          <rPr>
            <sz val="9"/>
            <color indexed="12"/>
            <rFont val="Tahoma"/>
            <family val="2"/>
          </rPr>
          <t>Alerte en cas de diminution</t>
        </r>
        <r>
          <rPr>
            <sz val="8"/>
            <color indexed="12"/>
            <rFont val="Tahoma"/>
            <family val="2"/>
          </rPr>
          <t xml:space="preserve">
</t>
        </r>
      </text>
    </comment>
    <comment ref="G52" authorId="0">
      <text>
        <r>
          <rPr>
            <sz val="9"/>
            <color indexed="12"/>
            <rFont val="Tahoma"/>
            <family val="2"/>
          </rPr>
          <t>Alerte en cas de résultat négatif et/ou inférieur à celui de l'année précédente</t>
        </r>
      </text>
    </comment>
    <comment ref="B53" authorId="0">
      <text>
        <r>
          <rPr>
            <sz val="9"/>
            <color indexed="12"/>
            <rFont val="Tahoma"/>
            <family val="2"/>
          </rPr>
          <t>Alerte si  BFR  &gt; FR</t>
        </r>
        <r>
          <rPr>
            <sz val="8"/>
            <color indexed="12"/>
            <rFont val="Tahoma"/>
            <family val="2"/>
          </rPr>
          <t xml:space="preserve">
</t>
        </r>
      </text>
    </comment>
    <comment ref="B54" authorId="0">
      <text>
        <r>
          <rPr>
            <sz val="9"/>
            <color indexed="12"/>
            <rFont val="Tahoma"/>
            <family val="2"/>
          </rPr>
          <t>Alerte en cas de Trésorerie négative et/ou de diminution</t>
        </r>
        <r>
          <rPr>
            <sz val="8"/>
            <color indexed="12"/>
            <rFont val="Tahoma"/>
            <family val="2"/>
          </rPr>
          <t xml:space="preserve">
</t>
        </r>
      </text>
    </comment>
    <comment ref="B77" authorId="0">
      <text>
        <r>
          <rPr>
            <sz val="8"/>
            <color indexed="12"/>
            <rFont val="Tahoma"/>
            <family val="2"/>
          </rPr>
          <t xml:space="preserve">Commenter les évolutions constatées et la stratégie à venir de l'organisation par rapport à sa situation passée. 
</t>
        </r>
      </text>
    </comment>
  </commentList>
</comments>
</file>

<file path=xl/comments12.xml><?xml version="1.0" encoding="utf-8"?>
<comments xmlns="http://schemas.openxmlformats.org/spreadsheetml/2006/main">
  <authors>
    <author>Astrid BLOMART</author>
  </authors>
  <commentList>
    <comment ref="B11" authorId="0">
      <text>
        <r>
          <rPr>
            <sz val="8"/>
            <color indexed="12"/>
            <rFont val="Tahoma"/>
            <family val="2"/>
          </rPr>
          <t xml:space="preserve">Pour toutes les activités facturées sous forme d'heures
</t>
        </r>
      </text>
    </comment>
    <comment ref="B13" authorId="0">
      <text>
        <r>
          <rPr>
            <sz val="8"/>
            <color indexed="12"/>
            <rFont val="Tahoma"/>
            <family val="2"/>
          </rPr>
          <t xml:space="preserve">Pourcentage des heures rémunérées qui ne sont pas facturées, soit la part des heures improductives, généralement compris entre 10% (correspondant aux taux de congés payés) et 15% (maximum généralement admis).
</t>
        </r>
      </text>
    </comment>
    <comment ref="B44" authorId="0">
      <text>
        <r>
          <rPr>
            <sz val="8"/>
            <color indexed="12"/>
            <rFont val="Tahoma"/>
            <family val="2"/>
          </rPr>
          <t xml:space="preserve">Le résultat d'exploitation est l'indicateur de viabilité du modèle économique.
</t>
        </r>
      </text>
    </comment>
    <comment ref="B45" authorId="0">
      <text>
        <r>
          <rPr>
            <sz val="8"/>
            <color indexed="12"/>
            <rFont val="Tahoma"/>
            <family val="2"/>
          </rPr>
          <t xml:space="preserve">Rentabilité d'exploitation = Résultat d'Exploitation / produits d'exploitation.
Permet de comparer le résultat d'exploitation à la hauteur des produits. En général, il doit être compris entre 1% et 5%. 
</t>
        </r>
      </text>
    </comment>
    <comment ref="B46" authorId="0">
      <text>
        <r>
          <rPr>
            <sz val="8"/>
            <color indexed="12"/>
            <rFont val="Tahoma"/>
            <family val="2"/>
          </rPr>
          <t>Taux MCV = (Chiffres d'Affaires - Coûts Variables) / Chiffre d'Affaire
Taux MCV : pourcentage de Chiffre d'Affaire qui permet d'absober les coûts fixes.</t>
        </r>
      </text>
    </comment>
    <comment ref="B47" authorId="0">
      <text>
        <r>
          <rPr>
            <sz val="8"/>
            <color indexed="12"/>
            <rFont val="Tahoma"/>
            <family val="2"/>
          </rPr>
          <t>SR = Coûts Fixes / (MCV / Chriffre d'Affaire)
Le Seuil de Rentabilité est le niveau minimum de CA à atteindre pour lequel une entreprise commence à être rentable et cesse de perdre de l'argent.</t>
        </r>
      </text>
    </comment>
    <comment ref="B53" authorId="0">
      <text>
        <r>
          <rPr>
            <sz val="8"/>
            <color indexed="12"/>
            <rFont val="Tahoma"/>
            <family val="2"/>
          </rPr>
          <t xml:space="preserve">Le résultat d'exploitation est l'indicateur de viabilité du modèle économique.
</t>
        </r>
      </text>
    </comment>
    <comment ref="B54" authorId="0">
      <text>
        <r>
          <rPr>
            <sz val="8"/>
            <color indexed="12"/>
            <rFont val="Tahoma"/>
            <family val="2"/>
          </rPr>
          <t xml:space="preserve">Rentabilité d'exploitation = Résultat d'Exploitation / produits d'exploitation.
Permet de comparer le résultat d'exploitation à la hauteur des produits. En général, il doit être compris entre 1% et 5%. 
</t>
        </r>
      </text>
    </comment>
    <comment ref="B55" authorId="0">
      <text>
        <r>
          <rPr>
            <sz val="8"/>
            <color indexed="12"/>
            <rFont val="Tahoma"/>
            <family val="2"/>
          </rPr>
          <t>Taux MCV = (Chiffres d'Affaires - Coûts Variables) / Chiffre d'Affaire
Taux MCV : pourcentage de Chiffre d'Affaire qui permet d'absober les coûts fixes.</t>
        </r>
      </text>
    </comment>
    <comment ref="B56" authorId="0">
      <text>
        <r>
          <rPr>
            <sz val="8"/>
            <color indexed="12"/>
            <rFont val="Tahoma"/>
            <family val="2"/>
          </rPr>
          <t>SR = Coûts Fixes / (MCV / Chriffre d'Affaire)
Le Seuil de Rentabilité est le niveau minimum de CA à atteindre pour lequel une entreprise commence à être rentable et cesse de perdre de l'argent.</t>
        </r>
      </text>
    </comment>
    <comment ref="B63" authorId="0">
      <text>
        <r>
          <rPr>
            <sz val="8"/>
            <color indexed="12"/>
            <rFont val="Tahoma"/>
            <family val="2"/>
          </rPr>
          <t xml:space="preserve">Le résultat d'exploitation est l'indicateur de viabilité du modèle économique.
</t>
        </r>
      </text>
    </comment>
    <comment ref="B64" authorId="0">
      <text>
        <r>
          <rPr>
            <sz val="8"/>
            <color indexed="12"/>
            <rFont val="Tahoma"/>
            <family val="2"/>
          </rPr>
          <t xml:space="preserve">Rentabilité d'exploitation = Résultat d'Exploitation / produits d'exploitation.
Permet de comparer le résultat d'exploitation à la hauteur des produits. En général, il doit être compris entre 1% et 5%. 
</t>
        </r>
      </text>
    </comment>
    <comment ref="B65" authorId="0">
      <text>
        <r>
          <rPr>
            <sz val="8"/>
            <color indexed="12"/>
            <rFont val="Tahoma"/>
            <family val="2"/>
          </rPr>
          <t>Taux MCV = (Chiffres d'Affaires - Coûts Variables) / Chiffre d'Affaire
Taux MCV : pourcentage de Chiffre d'Affaire qui permet d'absober les coûts fixes.</t>
        </r>
      </text>
    </comment>
    <comment ref="B66" authorId="0">
      <text>
        <r>
          <rPr>
            <sz val="8"/>
            <color indexed="12"/>
            <rFont val="Tahoma"/>
            <family val="2"/>
          </rPr>
          <t>SR = Coûts Fixes / (MCV / Chriffre d'Affaire)
Le Seuil de Rentabilité est le niveau minimum de CA à atteindre pour lequel une entreprise commence à être rentable et cesse de perdre de l'argent.</t>
        </r>
      </text>
    </comment>
    <comment ref="B75" authorId="0">
      <text>
        <r>
          <rPr>
            <sz val="8"/>
            <color indexed="12"/>
            <rFont val="Tahoma"/>
            <family val="2"/>
          </rPr>
          <t xml:space="preserve">Le résultat d'exploitation est l'indicateur de viabilité du modèle économique.
</t>
        </r>
      </text>
    </comment>
    <comment ref="B76" authorId="0">
      <text>
        <r>
          <rPr>
            <sz val="8"/>
            <color indexed="12"/>
            <rFont val="Tahoma"/>
            <family val="2"/>
          </rPr>
          <t xml:space="preserve">Rentabilité d'exploitation = Résultat d'Exploitation / produits d'exploitation.
Permet de comparer le résultat d'exploitation à la hauteur des produits. En général, il doit être compris entre 1% et 5%. 
</t>
        </r>
      </text>
    </comment>
    <comment ref="B77" authorId="0">
      <text>
        <r>
          <rPr>
            <sz val="8"/>
            <color indexed="12"/>
            <rFont val="Tahoma"/>
            <family val="2"/>
          </rPr>
          <t>Taux MCV = (Chiffres d'Affaires - Coûts Variables) / Chiffre d'Affaire
Taux MCV : pourcentage de Chiffre d'Affaire qui permet d'absober les coûts fixes.</t>
        </r>
      </text>
    </comment>
    <comment ref="B78" authorId="0">
      <text>
        <r>
          <rPr>
            <sz val="8"/>
            <color indexed="12"/>
            <rFont val="Tahoma"/>
            <family val="2"/>
          </rPr>
          <t>SR = Coûts Fixes / (MCV / Chriffre d'Affaire)
Le Seuil de Rentabilité est le niveau minimum de CA à atteindre pour lequel une entreprise commence à être rentable et cesse de perdre de l'argent.</t>
        </r>
      </text>
    </comment>
    <comment ref="B85" authorId="0">
      <text>
        <r>
          <rPr>
            <sz val="8"/>
            <color indexed="12"/>
            <rFont val="Tahoma"/>
            <family val="2"/>
          </rPr>
          <t xml:space="preserve">Le résultat d'exploitation est l'indicateur de viabilité du modèle économique.
</t>
        </r>
      </text>
    </comment>
    <comment ref="B86" authorId="0">
      <text>
        <r>
          <rPr>
            <sz val="8"/>
            <color indexed="12"/>
            <rFont val="Tahoma"/>
            <family val="2"/>
          </rPr>
          <t xml:space="preserve">Rentabilité d'exploitation = Résultat d'Exploitation / produits d'exploitation.
Permet de comparer le résultat d'exploitation à la hauteur des produits. En général, il doit être compris entre 1% et 5%. 
</t>
        </r>
      </text>
    </comment>
    <comment ref="B87" authorId="0">
      <text>
        <r>
          <rPr>
            <sz val="8"/>
            <color indexed="12"/>
            <rFont val="Tahoma"/>
            <family val="2"/>
          </rPr>
          <t>Taux MCV = (Chiffres d'Affaires - Coûts Variables) / Chiffre d'Affaire
Taux MCV : pourcentage de Chiffre d'Affaire qui permet d'absober les coûts fixes.</t>
        </r>
      </text>
    </comment>
    <comment ref="B88" authorId="0">
      <text>
        <r>
          <rPr>
            <sz val="8"/>
            <color indexed="12"/>
            <rFont val="Tahoma"/>
            <family val="2"/>
          </rPr>
          <t>SR = Coûts Fixes / (MCV / Chriffre d'Affaire)
Le Seuil de Rentabilité est le niveau minimum de CA à atteindre pour lequel une entreprise commence à être rentable et cesse de perdre de l'argent.</t>
        </r>
      </text>
    </comment>
    <comment ref="B94" authorId="0">
      <text>
        <r>
          <rPr>
            <sz val="8"/>
            <color indexed="12"/>
            <rFont val="Tahoma"/>
            <family val="2"/>
          </rPr>
          <t xml:space="preserve">Le résultat d'exploitation est l'indicateur de viabilité du modèle économique.
</t>
        </r>
      </text>
    </comment>
    <comment ref="B95" authorId="0">
      <text>
        <r>
          <rPr>
            <sz val="8"/>
            <color indexed="12"/>
            <rFont val="Tahoma"/>
            <family val="2"/>
          </rPr>
          <t xml:space="preserve">Rentabilité d'exploitation = Résultat d'Exploitation / produits d'exploitation.
Permet de comparer le résultat d'exploitation à la hauteur des produits. En général, il doit être compris entre 1% et 5%. 
</t>
        </r>
      </text>
    </comment>
    <comment ref="B96" authorId="0">
      <text>
        <r>
          <rPr>
            <sz val="8"/>
            <color indexed="12"/>
            <rFont val="Tahoma"/>
            <family val="2"/>
          </rPr>
          <t>Taux MCV = (Chiffres d'Affaires - Coûts Variables) / Chiffre d'Affaire
Taux MCV : pourcentage de Chiffre d'Affaire qui permet d'absober les coûts fixes.</t>
        </r>
      </text>
    </comment>
    <comment ref="B97" authorId="0">
      <text>
        <r>
          <rPr>
            <sz val="8"/>
            <color indexed="12"/>
            <rFont val="Tahoma"/>
            <family val="2"/>
          </rPr>
          <t>SR = Coûts Fixes / (MCV / Chriffre d'Affaire)
Le Seuil de Rentabilité est le niveau minimum de CA à atteindre pour lequel une entreprise commence à être rentable et cesse de perdre de l'argent.</t>
        </r>
      </text>
    </comment>
    <comment ref="B103" authorId="0">
      <text>
        <r>
          <rPr>
            <sz val="8"/>
            <color indexed="12"/>
            <rFont val="Tahoma"/>
            <family val="2"/>
          </rPr>
          <t xml:space="preserve">Commenter les évolutions constatées et la stratégie à venir de l'organisation par rapport à sa situation passée. 
</t>
        </r>
      </text>
    </comment>
  </commentList>
</comments>
</file>

<file path=xl/comments13.xml><?xml version="1.0" encoding="utf-8"?>
<comments xmlns="http://schemas.openxmlformats.org/spreadsheetml/2006/main">
  <authors>
    <author>Astrid BLOMART</author>
  </authors>
  <commentList>
    <comment ref="G10" authorId="0">
      <text>
        <r>
          <rPr>
            <sz val="8"/>
            <color indexed="12"/>
            <rFont val="Tahoma"/>
            <family val="2"/>
          </rPr>
          <t>= Résultat Net + Dotation aux Amortissement - Reprise sur provisions - Reprise de Résultat sous contrôle de 1/3.
La CAF ou Capacité d'Autofinancement mesure les excédents monétaires générés par l'activité dela structure.     La CAF correspond au solde des produits et charges d'exploitation "monétaires". Elle sert notamment à rembourser les emprunts à moyen ou long terme, à renforcer le fonds de roulement, à financer de nouveaux investissements... Pour les organismes financiers ou assimilés, elle détermine la capacité d'une structure à s'endetter.</t>
        </r>
      </text>
    </comment>
    <comment ref="G15" authorId="0">
      <text>
        <r>
          <rPr>
            <sz val="8"/>
            <color indexed="12"/>
            <rFont val="Tahoma"/>
            <family val="2"/>
          </rPr>
          <t xml:space="preserve">Ces élements permettent de calculer le Besoin en Fonds de Roulement prévisionnel.
</t>
        </r>
      </text>
    </comment>
    <comment ref="G19" authorId="0">
      <text>
        <r>
          <rPr>
            <sz val="9"/>
            <color indexed="12"/>
            <rFont val="Tahoma"/>
            <family val="2"/>
          </rPr>
          <t xml:space="preserve">Ce sont les délais entre l'acquisition/la fabrication/conception et la vente des marchandises/produits finis et prestations. Ils s'expriment en jours de Chiffre d'Affaires.
</t>
        </r>
      </text>
    </comment>
    <comment ref="G20" authorId="0">
      <text>
        <r>
          <rPr>
            <sz val="9"/>
            <color indexed="12"/>
            <rFont val="Tahoma"/>
            <family val="2"/>
          </rPr>
          <t xml:space="preserve">C'est le délai moyen d'encaissement des factures émises et des subventions notifiées pour l'exercice. Il s'exprime en jours de Chiffre d'Affaires.
</t>
        </r>
      </text>
    </comment>
    <comment ref="G22" authorId="0">
      <text>
        <r>
          <rPr>
            <sz val="9"/>
            <color indexed="12"/>
            <rFont val="Tahoma"/>
            <family val="2"/>
          </rPr>
          <t xml:space="preserve">Dettes &lt; 1 an  hors dettes sociales et fiscales et concours bancaires CT, il s'agit donc des dettes fournisseurs. On indique le délai moyen de paiement des fournisseurs exprimé en  jours d'achats.
</t>
        </r>
      </text>
    </comment>
    <comment ref="G23" authorId="0">
      <text>
        <r>
          <rPr>
            <sz val="8"/>
            <color indexed="12"/>
            <rFont val="Tahoma"/>
            <family val="2"/>
          </rPr>
          <t xml:space="preserve">C'est le délai moyen de paiement des dettes à l'égard des salariés (salaires, mais aussi congés payés non consommés), des organismes sociaux (charges sociales salariales et patronales) et du trésor public.
</t>
        </r>
      </text>
    </comment>
    <comment ref="B54" authorId="0">
      <text>
        <r>
          <rPr>
            <sz val="8"/>
            <color indexed="12"/>
            <rFont val="Tahoma"/>
            <family val="2"/>
          </rPr>
          <t xml:space="preserve">Préconisations du Fonds Territorial France Active
</t>
        </r>
      </text>
    </comment>
  </commentList>
</comments>
</file>

<file path=xl/comments2.xml><?xml version="1.0" encoding="utf-8"?>
<comments xmlns="http://schemas.openxmlformats.org/spreadsheetml/2006/main">
  <authors>
    <author>Astrid BLOMART</author>
    <author>CecileK</author>
  </authors>
  <commentList>
    <comment ref="E6" authorId="0">
      <text>
        <r>
          <rPr>
            <sz val="8"/>
            <color indexed="39"/>
            <rFont val="Tahoma"/>
            <family val="2"/>
          </rPr>
          <t xml:space="preserve">Sélectionner le niveau d'évaluation qui vous paraît le mieux convenir à la situation décrite : RAS (rien à signaler), préoccupant, positif
</t>
        </r>
      </text>
    </comment>
    <comment ref="E22" authorId="0">
      <text>
        <r>
          <rPr>
            <sz val="8"/>
            <color indexed="39"/>
            <rFont val="Tahoma"/>
            <family val="2"/>
          </rPr>
          <t xml:space="preserve">Sélectionner le niveau d'évaluation qui vous paraît le mieux convenir à la situation décrite : RAS (rien à signaler), préoccupant, positif
</t>
        </r>
      </text>
    </comment>
    <comment ref="A24" authorId="0">
      <text>
        <r>
          <rPr>
            <sz val="8"/>
            <color indexed="39"/>
            <rFont val="Tahoma"/>
            <family val="2"/>
          </rPr>
          <t xml:space="preserve">en valeur absolue (nombre de salariés et non pas nombre d'ETP)
</t>
        </r>
      </text>
    </comment>
    <comment ref="A27" authorId="0">
      <text>
        <r>
          <rPr>
            <sz val="8"/>
            <color indexed="39"/>
            <rFont val="Tahoma"/>
            <family val="2"/>
          </rPr>
          <t xml:space="preserve">en valeur absolue (nombre de salariés et non pas nombre d'ETP)
</t>
        </r>
      </text>
    </comment>
    <comment ref="A36" authorId="1">
      <text>
        <r>
          <rPr>
            <sz val="8"/>
            <color indexed="39"/>
            <rFont val="Tahoma"/>
            <family val="2"/>
          </rPr>
          <t>Actions de formation externes assurées par des formateurs externes, et internes assurées par des salariés de la structure)</t>
        </r>
      </text>
    </comment>
    <comment ref="E40" authorId="0">
      <text>
        <r>
          <rPr>
            <sz val="8"/>
            <color indexed="39"/>
            <rFont val="Tahoma"/>
            <family val="2"/>
          </rPr>
          <t xml:space="preserve">Sélectionner le niveau d'évaluation qui vous paraît le mieux convenir à la situation décrite : RAS (rien à signaler), préoccupant, positif
</t>
        </r>
      </text>
    </comment>
    <comment ref="A44" authorId="0">
      <text>
        <r>
          <rPr>
            <sz val="8"/>
            <color indexed="39"/>
            <rFont val="Tahoma"/>
            <family val="2"/>
          </rPr>
          <t xml:space="preserve">Km parcourus dans le cadre des activités de SAD : véhicules professionnels et donnant lieu à remboursement de frais
</t>
        </r>
      </text>
    </comment>
    <comment ref="E49" authorId="0">
      <text>
        <r>
          <rPr>
            <sz val="8"/>
            <color indexed="39"/>
            <rFont val="Tahoma"/>
            <family val="2"/>
          </rPr>
          <t xml:space="preserve">Sélectionner le niveau d'évaluation qui vous paraît le mieux convenir à la situation décrite : RAS (rien à signaler), préoccupant, positif
</t>
        </r>
      </text>
    </comment>
    <comment ref="E57" authorId="0">
      <text>
        <r>
          <rPr>
            <sz val="8"/>
            <color indexed="39"/>
            <rFont val="Tahoma"/>
            <family val="2"/>
          </rPr>
          <t xml:space="preserve">Sélectionner le niveau d'évaluation qui vous paraît le mieux convenir à la situation décrite : RAS (rien à signaler), préoccupant, positif
</t>
        </r>
      </text>
    </comment>
    <comment ref="A59" authorId="0">
      <text>
        <r>
          <rPr>
            <sz val="8"/>
            <color indexed="39"/>
            <rFont val="Tahoma"/>
            <family val="2"/>
          </rPr>
          <t xml:space="preserve">Conseil Général, CR, caisses de retraite, CAF, CARSAT, mutuelles, ...
</t>
        </r>
      </text>
    </comment>
    <comment ref="A61" authorId="0">
      <text>
        <r>
          <rPr>
            <sz val="8"/>
            <color indexed="12"/>
            <rFont val="Tahoma"/>
            <family val="2"/>
          </rPr>
          <t>Personnes aidées (reste charge), mutuelles, assurances, clients pour services à la personne de confort...</t>
        </r>
      </text>
    </comment>
    <comment ref="A65" authorId="0">
      <text>
        <r>
          <rPr>
            <sz val="8"/>
            <color indexed="39"/>
            <rFont val="Tahoma"/>
            <family val="2"/>
          </rPr>
          <t xml:space="preserve">CAC: commissaire aux comptes
</t>
        </r>
      </text>
    </comment>
    <comment ref="E67" authorId="0">
      <text>
        <r>
          <rPr>
            <sz val="8"/>
            <color indexed="39"/>
            <rFont val="Tahoma"/>
            <family val="2"/>
          </rPr>
          <t xml:space="preserve">Sélectionner le niveau d'évaluation qui vous paraît le mieux convenir à la situation décrite : RAS (rien à signaler), préoccupant, positif
</t>
        </r>
      </text>
    </comment>
    <comment ref="A75" authorId="0">
      <text>
        <r>
          <rPr>
            <sz val="8"/>
            <color indexed="39"/>
            <rFont val="Tahoma"/>
            <family val="2"/>
          </rPr>
          <t xml:space="preserve">Mise en place d'une comptabilité ou utilisation d'outils gestionnaires permettant de différencier les mouvements financiers par activité
</t>
        </r>
      </text>
    </comment>
    <comment ref="A83" authorId="0">
      <text>
        <r>
          <rPr>
            <sz val="8"/>
            <color indexed="39"/>
            <rFont val="Tahoma"/>
            <family val="2"/>
          </rPr>
          <t xml:space="preserve">Illustration du contexte économique dans lequel évolue la structure permettant de repérer les contraintes
</t>
        </r>
      </text>
    </comment>
    <comment ref="E83" authorId="0">
      <text>
        <r>
          <rPr>
            <sz val="8"/>
            <color indexed="39"/>
            <rFont val="Tahoma"/>
            <family val="2"/>
          </rPr>
          <t xml:space="preserve">Sélectionner le niveau d'évaluation qui vous paraît le mieux convenir à la situation décrite : RAS (rien à signaler), préoccupant, positif
</t>
        </r>
      </text>
    </comment>
    <comment ref="A89" authorId="0">
      <text>
        <r>
          <rPr>
            <sz val="8"/>
            <color indexed="39"/>
            <rFont val="Tahoma"/>
            <family val="2"/>
          </rPr>
          <t xml:space="preserve">Facilité ou difficulté de communication et de compréhension avec son/ses partenaire(s) bancaire(s)
</t>
        </r>
      </text>
    </comment>
    <comment ref="E91" authorId="0">
      <text>
        <r>
          <rPr>
            <sz val="8"/>
            <color indexed="39"/>
            <rFont val="Tahoma"/>
            <family val="2"/>
          </rPr>
          <t xml:space="preserve">Sélectionner le niveau d'évaluation qui vous paraît le mieux convenir à la situation décrite : RAS (rien à signaler), préoccupant, positif
</t>
        </r>
      </text>
    </comment>
  </commentList>
</comments>
</file>

<file path=xl/comments3.xml><?xml version="1.0" encoding="utf-8"?>
<comments xmlns="http://schemas.openxmlformats.org/spreadsheetml/2006/main">
  <authors>
    <author>Astrid BLOMART</author>
    <author>BARKAB</author>
    <author>CecileK</author>
  </authors>
  <commentList>
    <comment ref="B2" authorId="0">
      <text>
        <r>
          <rPr>
            <sz val="8"/>
            <color indexed="12"/>
            <rFont val="Tahoma"/>
            <family val="2"/>
          </rPr>
          <t>Les bilans d'une entreprise reflètent son patrimoine et la manière dont celui-ci est financé. 
L'analyse permet de révéler les équilibres ou déséquilibres de la structure financière.</t>
        </r>
      </text>
    </comment>
    <comment ref="B6" authorId="0">
      <text>
        <r>
          <rPr>
            <sz val="8"/>
            <color indexed="12"/>
            <rFont val="Tahoma"/>
            <family val="2"/>
          </rPr>
          <t>Comptes des classes 20 à 27
: somme des immobilisations à saisir en valeur brute =
corporelles + incorporelles + financières</t>
        </r>
      </text>
    </comment>
    <comment ref="F6" authorId="1">
      <text>
        <r>
          <rPr>
            <sz val="8"/>
            <color indexed="39"/>
            <rFont val="Tahoma"/>
            <family val="2"/>
          </rPr>
          <t>Capital ou Fonds associatifs sans droit de reprise  + réserves + apports avec droit de reprise (comptes classe 10)
+ provisions réglementées (compte classe 14)
+ subventions d'investissement (compte classe 13)
+ comptes courants d'associés</t>
        </r>
      </text>
    </comment>
    <comment ref="B7" authorId="0">
      <text>
        <r>
          <rPr>
            <sz val="8"/>
            <color indexed="39"/>
            <rFont val="Tahoma"/>
            <family val="2"/>
          </rPr>
          <t>Comptes des classes 28 &amp; 29</t>
        </r>
      </text>
    </comment>
    <comment ref="F7" authorId="0">
      <text>
        <r>
          <rPr>
            <sz val="8"/>
            <color indexed="12"/>
            <rFont val="Tahoma"/>
            <family val="2"/>
          </rPr>
          <t>Comptes des classes 110-114-119-120-129 : 
Report à nouveau 
+ résultat de l'exercice</t>
        </r>
      </text>
    </comment>
    <comment ref="B8" authorId="0">
      <text>
        <r>
          <rPr>
            <sz val="8"/>
            <color indexed="12"/>
            <rFont val="Tahoma"/>
            <family val="2"/>
          </rPr>
          <t xml:space="preserve">L'actif immobilisé correspond aux biens durables d'une structure (les investissements). 
Une évolution positive traduit un "enrichissement", et  a contrario, un "appauvrissement". 
</t>
        </r>
      </text>
    </comment>
    <comment ref="B9" authorId="0">
      <text>
        <r>
          <rPr>
            <sz val="8"/>
            <color indexed="39"/>
            <rFont val="Tahoma"/>
            <family val="2"/>
          </rPr>
          <t xml:space="preserve">Comptes de la classe 3
</t>
        </r>
      </text>
    </comment>
    <comment ref="F9" authorId="0">
      <text>
        <r>
          <rPr>
            <sz val="8"/>
            <color indexed="12"/>
            <rFont val="Tahoma"/>
            <family val="2"/>
          </rPr>
          <t>Résultat sous contrôle de tiers financeurs (compte classe 115)
+ provisions pour risques et charges (comptes classe 151 &amp; 15)
+ fonds dédiés (compte de la classe 19)</t>
        </r>
      </text>
    </comment>
    <comment ref="B10" authorId="0">
      <text>
        <r>
          <rPr>
            <sz val="8"/>
            <color indexed="12"/>
            <rFont val="Tahoma"/>
            <family val="2"/>
          </rPr>
          <t xml:space="preserve">Correspond aux  sommes dûs par des tiers.
Comptes de la classe 4 débiteurs :
créances des  usagers,  des organismes et financeurs publics
+ autres créances
+ avances et acomptes sur commandes </t>
        </r>
      </text>
    </comment>
    <comment ref="F10" authorId="1">
      <text>
        <r>
          <rPr>
            <sz val="8"/>
            <color indexed="39"/>
            <rFont val="Tahoma"/>
            <family val="2"/>
          </rPr>
          <t>Dettes à moyen et long terme dont l'échéance de remboursement est à plus d'un an.
Comptes de la classe 16 :
+ prêts bancaires &gt; à 1 an
+ autres emprunts et dettes &gt; à 1 an
+ produits constatés d'avance &gt; à 1 an</t>
        </r>
      </text>
    </comment>
    <comment ref="B11" authorId="0">
      <text>
        <r>
          <rPr>
            <sz val="8"/>
            <color indexed="39"/>
            <rFont val="Tahoma"/>
            <family val="2"/>
          </rPr>
          <t xml:space="preserve">Il s'agit de la trésorerie immédiatement disponible.
 Comptes de la classe 5 débiteurs :
Disponibilités + Valeurs Mobilières de Placement
</t>
        </r>
      </text>
    </comment>
    <comment ref="F11" authorId="1">
      <text>
        <r>
          <rPr>
            <sz val="8"/>
            <color indexed="12"/>
            <rFont val="Tahoma"/>
            <family val="2"/>
          </rPr>
          <t>Dettes court terme dont l'échéance de remboursement est à moins d'un an.
Comptes de la classe 4 créditeurs
= dettes fournisseurs
+ dettes financières &lt; à 1 an
+ dettes sociales et fiscales (classes 42 et 43)
+ autres dettes
+ produits constatés d'avance &lt; 1 an (classe 487)</t>
        </r>
      </text>
    </comment>
    <comment ref="B12" authorId="0">
      <text>
        <r>
          <rPr>
            <sz val="8"/>
            <color indexed="12"/>
            <rFont val="Tahoma"/>
            <family val="2"/>
          </rPr>
          <t>Il s'agit des charges engagées au cours de l'exercice mais consommées lors de l'exercice suivant. 
Compte de la classe 486</t>
        </r>
      </text>
    </comment>
    <comment ref="B13" authorId="0">
      <text>
        <r>
          <rPr>
            <sz val="8"/>
            <color indexed="12"/>
            <rFont val="Tahoma"/>
            <family val="2"/>
          </rPr>
          <t xml:space="preserve">Ensemble des biens d’une entreprise qui est appelé à se renouveler rapidement (stocks, créances, liquidités).
</t>
        </r>
      </text>
    </comment>
    <comment ref="B15" authorId="0">
      <text>
        <r>
          <rPr>
            <sz val="8"/>
            <color indexed="39"/>
            <rFont val="Tahoma"/>
            <family val="2"/>
          </rPr>
          <t xml:space="preserve">Comptes 511, valeur à l'ensaissement
</t>
        </r>
      </text>
    </comment>
    <comment ref="F15" authorId="0">
      <text>
        <r>
          <rPr>
            <sz val="8"/>
            <color indexed="12"/>
            <rFont val="Tahoma"/>
            <family val="2"/>
          </rPr>
          <t xml:space="preserve">Dont concours bancaires courants et soldes créditeurs de banques (Comptes de la classe 5 créditeur)
+ Comptes de liaison (comptes 18)
</t>
        </r>
      </text>
    </comment>
    <comment ref="B24" authorId="2">
      <text>
        <r>
          <rPr>
            <sz val="8"/>
            <color indexed="12"/>
            <rFont val="Tahoma"/>
            <family val="2"/>
          </rPr>
          <t>Comptes de la classe 60
Comptabiliser tous les achats et charges (hors salaires) liés directement à la mise en œuvre des activités (consommables, essence…).</t>
        </r>
      </text>
    </comment>
    <comment ref="F24" authorId="0">
      <text>
        <r>
          <rPr>
            <sz val="8"/>
            <color indexed="39"/>
            <rFont val="Tahoma"/>
            <family val="2"/>
          </rPr>
          <t xml:space="preserve">Compte des classes  70 et 73
</t>
        </r>
      </text>
    </comment>
    <comment ref="B25" authorId="0">
      <text>
        <r>
          <rPr>
            <sz val="8"/>
            <color indexed="12"/>
            <rFont val="Tahoma"/>
            <family val="2"/>
          </rPr>
          <t xml:space="preserve">Comptes des classes 61 &amp; 62
</t>
        </r>
      </text>
    </comment>
    <comment ref="F25" authorId="0">
      <text>
        <r>
          <rPr>
            <sz val="8"/>
            <color indexed="39"/>
            <rFont val="Tahoma"/>
            <family val="2"/>
          </rPr>
          <t xml:space="preserve">Compte des classes  70 et 73
</t>
        </r>
      </text>
    </comment>
    <comment ref="B26" authorId="2">
      <text>
        <r>
          <rPr>
            <sz val="8"/>
            <color indexed="39"/>
            <rFont val="Tahoma"/>
            <family val="2"/>
          </rPr>
          <t>Hors IS (Impôt sur les .sociétés) le cas échéant
Comptes de la classe 63</t>
        </r>
      </text>
    </comment>
    <comment ref="F26" authorId="0">
      <text>
        <r>
          <rPr>
            <sz val="8"/>
            <color indexed="39"/>
            <rFont val="Tahoma"/>
            <family val="2"/>
          </rPr>
          <t>Comptes des classes 741 à 747</t>
        </r>
      </text>
    </comment>
    <comment ref="B27" authorId="0">
      <text>
        <r>
          <rPr>
            <sz val="8"/>
            <color indexed="12"/>
            <rFont val="Tahoma"/>
            <family val="2"/>
          </rPr>
          <t xml:space="preserve">Comptes des classes 641 à 644 &amp; 648 ("autres charges de personnel")
</t>
        </r>
      </text>
    </comment>
    <comment ref="F27" authorId="0">
      <text>
        <r>
          <rPr>
            <sz val="8"/>
            <color indexed="39"/>
            <rFont val="Tahoma"/>
            <family val="2"/>
          </rPr>
          <t xml:space="preserve">Comptes des classes 78 &amp; 79
</t>
        </r>
      </text>
    </comment>
    <comment ref="F28" authorId="0">
      <text>
        <r>
          <rPr>
            <sz val="8"/>
            <color indexed="39"/>
            <rFont val="Tahoma"/>
            <family val="2"/>
          </rPr>
          <t xml:space="preserve">Comptes de la classe 748
Inclus par retraitement dans l'intitulé "transfert de charges" </t>
        </r>
      </text>
    </comment>
    <comment ref="B29" authorId="0">
      <text>
        <r>
          <rPr>
            <sz val="8"/>
            <color indexed="12"/>
            <rFont val="Tahoma"/>
            <family val="2"/>
          </rPr>
          <t>Comptes des classes 645 à 647</t>
        </r>
      </text>
    </comment>
    <comment ref="F29" authorId="0">
      <text>
        <r>
          <rPr>
            <sz val="8"/>
            <color indexed="39"/>
            <rFont val="Tahoma"/>
            <family val="2"/>
          </rPr>
          <t xml:space="preserve">Comptes de la classes 781 </t>
        </r>
      </text>
    </comment>
    <comment ref="B31" authorId="0">
      <text>
        <r>
          <rPr>
            <sz val="8"/>
            <color indexed="12"/>
            <rFont val="Tahoma"/>
            <family val="2"/>
          </rPr>
          <t xml:space="preserve">La dotation aux amortissements est la constatation comptable de la dépréciation de la valeur d'éléments de l'actif immobilisé.
Comptes de la classe 68
</t>
        </r>
      </text>
    </comment>
    <comment ref="F31" authorId="0">
      <text>
        <r>
          <rPr>
            <sz val="8"/>
            <color indexed="39"/>
            <rFont val="Tahoma"/>
            <family val="2"/>
          </rPr>
          <t>Comptes de la classe 756</t>
        </r>
      </text>
    </comment>
    <comment ref="B32" authorId="0">
      <text>
        <r>
          <rPr>
            <sz val="8"/>
            <color indexed="12"/>
            <rFont val="Tahoma"/>
            <family val="2"/>
          </rPr>
          <t xml:space="preserve">Comptes de la classe 65
</t>
        </r>
      </text>
    </comment>
    <comment ref="F32" authorId="0">
      <text>
        <r>
          <rPr>
            <sz val="8"/>
            <color indexed="39"/>
            <rFont val="Tahoma"/>
            <family val="2"/>
          </rPr>
          <t xml:space="preserve">Comptes des classes 71, 72, 751 à 755, 757, 758
</t>
        </r>
      </text>
    </comment>
    <comment ref="B34" authorId="0">
      <text>
        <r>
          <rPr>
            <sz val="8"/>
            <color indexed="12"/>
            <rFont val="Tahoma"/>
            <family val="2"/>
          </rPr>
          <t>Comptes de la classe 66</t>
        </r>
      </text>
    </comment>
    <comment ref="F34" authorId="0">
      <text>
        <r>
          <rPr>
            <sz val="8"/>
            <color indexed="39"/>
            <rFont val="Tahoma"/>
            <family val="2"/>
          </rPr>
          <t>Comptes des classes 76 &amp; 786</t>
        </r>
      </text>
    </comment>
    <comment ref="B35" authorId="0">
      <text>
        <r>
          <rPr>
            <sz val="8"/>
            <color indexed="12"/>
            <rFont val="Tahoma"/>
            <family val="2"/>
          </rPr>
          <t xml:space="preserve">Comptes de la classe 67
</t>
        </r>
      </text>
    </comment>
    <comment ref="F35" authorId="0">
      <text>
        <r>
          <rPr>
            <sz val="8"/>
            <color indexed="39"/>
            <rFont val="Tahoma"/>
            <family val="2"/>
          </rPr>
          <t>Comptes des classes 77 &amp; 787</t>
        </r>
      </text>
    </comment>
    <comment ref="B36" authorId="0">
      <text>
        <r>
          <rPr>
            <sz val="8"/>
            <color indexed="12"/>
            <rFont val="Tahoma"/>
            <family val="2"/>
          </rPr>
          <t xml:space="preserve">Comptes  de la classe 689 (engagements à réaliser sur ressources affectées) &amp; de la classe 69 (Impôts sur les sociétés + participation des salariés au résultat)
</t>
        </r>
      </text>
    </comment>
    <comment ref="F36" authorId="0">
      <text>
        <r>
          <rPr>
            <sz val="8"/>
            <color indexed="39"/>
            <rFont val="Tahoma"/>
            <family val="2"/>
          </rPr>
          <t xml:space="preserve">Comptes de la classe 789 (report des ressources non utilisées des exercices antérieurs)
</t>
        </r>
      </text>
    </comment>
    <comment ref="F37" authorId="0">
      <text>
        <r>
          <rPr>
            <sz val="8"/>
            <color indexed="39"/>
            <rFont val="Tahoma"/>
            <family val="2"/>
          </rPr>
          <t xml:space="preserve">Apports gratuits réalisés par une personne physique ou morale à une organisation (biens, services, travail). Indiquer le mode de calcule dans la partie "commentaires"
</t>
        </r>
      </text>
    </comment>
    <comment ref="B42" authorId="0">
      <text>
        <r>
          <rPr>
            <sz val="8"/>
            <color indexed="12"/>
            <rFont val="Tahoma"/>
            <family val="2"/>
          </rPr>
          <t xml:space="preserve">Le résultat d'exploitation est la différence entre les produits et charges liés à l'activité. Il traduit l'accroissement de richesse généré par l'activité. Egalement appelé résultat économique ou opérationnel, c'est le principal indicateur de rentabilité, car il n'est pas affecté par les éléments financiers et exceptionnels.
</t>
        </r>
      </text>
    </comment>
    <comment ref="B46" authorId="0">
      <text>
        <r>
          <rPr>
            <sz val="8"/>
            <color indexed="39"/>
            <rFont val="Tahoma"/>
            <family val="2"/>
          </rPr>
          <t>Dans l'attente de l'arrêté des comptes, ce tableau présente une estimation budgétaire de l'année en cours.
Pour l'affichage des calculs automatiques, il faut avoir renseigner dans l'onglet "1.Présentation de l'outil" les informations concernant la "date de la dernière balance intermédiaire" et le "nombre de mois couverts par la balance intermédiaire".</t>
        </r>
      </text>
    </comment>
    <comment ref="C48" authorId="0">
      <text>
        <r>
          <rPr>
            <sz val="8"/>
            <color indexed="39"/>
            <rFont val="Tahoma"/>
            <family val="2"/>
          </rPr>
          <t xml:space="preserve">A renseigner pour information, afin de mesurer les écarts de prévisions.
</t>
        </r>
      </text>
    </comment>
    <comment ref="E48" authorId="0">
      <text>
        <r>
          <rPr>
            <sz val="8"/>
            <color indexed="39"/>
            <rFont val="Tahoma"/>
            <family val="2"/>
          </rPr>
          <t xml:space="preserve">Pour afficher les calculs automatiques de cette colonne, il faut au préalable bien avoir renseigné la ligne "nombre de mois couverts par la balance intermédiaire" de l'onglet "1.Présentation de la structure".
</t>
        </r>
      </text>
    </comment>
    <comment ref="I48" authorId="0">
      <text>
        <r>
          <rPr>
            <sz val="8"/>
            <color indexed="39"/>
            <rFont val="Tahoma"/>
            <family val="2"/>
          </rPr>
          <t>Mesure la différence entre le budget prévisionnel initial et l'actualisé</t>
        </r>
      </text>
    </comment>
    <comment ref="B86" authorId="0">
      <text>
        <r>
          <rPr>
            <sz val="8"/>
            <color indexed="39"/>
            <rFont val="Tahoma"/>
            <family val="2"/>
          </rPr>
          <t xml:space="preserve">Commentaires sur la saisie: choix et hypothèses retenus,  retraitements effectués, etc.
</t>
        </r>
      </text>
    </comment>
  </commentList>
</comments>
</file>

<file path=xl/comments4.xml><?xml version="1.0" encoding="utf-8"?>
<comments xmlns="http://schemas.openxmlformats.org/spreadsheetml/2006/main">
  <authors>
    <author>Astrid BLOMART</author>
  </authors>
  <commentList>
    <comment ref="C4" authorId="0">
      <text>
        <r>
          <rPr>
            <sz val="8"/>
            <color indexed="12"/>
            <rFont val="Tahoma"/>
            <family val="2"/>
          </rPr>
          <t xml:space="preserve">Indiquer une moyenne sur l'année à titre d'information
</t>
        </r>
      </text>
    </comment>
    <comment ref="D4" authorId="0">
      <text>
        <r>
          <rPr>
            <sz val="8"/>
            <color indexed="12"/>
            <rFont val="Tahoma"/>
            <family val="2"/>
          </rPr>
          <t xml:space="preserve">Nombre d'équivalents temps plein
1 ETP = 1607 heures / an
</t>
        </r>
      </text>
    </comment>
    <comment ref="N4" authorId="0">
      <text>
        <r>
          <rPr>
            <sz val="8"/>
            <color indexed="12"/>
            <rFont val="Tahoma"/>
            <family val="2"/>
          </rPr>
          <t xml:space="preserve">Répartition du temps de travail selon les effectifs en ETP par activités, calculs qui permet de ventiler les charges fixes et directes dans l'onglet "6, Détails activités passés"
</t>
        </r>
      </text>
    </comment>
    <comment ref="M5" authorId="0">
      <text>
        <r>
          <rPr>
            <sz val="8"/>
            <color indexed="12"/>
            <rFont val="Tahoma"/>
            <family val="2"/>
          </rPr>
          <t>= Heures rémunérées encadrants + heures rémunérées intervenants</t>
        </r>
      </text>
    </comment>
    <comment ref="C17" authorId="0">
      <text>
        <r>
          <rPr>
            <sz val="8"/>
            <color indexed="12"/>
            <rFont val="Tahoma"/>
            <family val="2"/>
          </rPr>
          <t xml:space="preserve">Indiquer une moyenne sur l'année à titre d'information
</t>
        </r>
      </text>
    </comment>
    <comment ref="D17" authorId="0">
      <text>
        <r>
          <rPr>
            <sz val="8"/>
            <color indexed="12"/>
            <rFont val="Tahoma"/>
            <family val="2"/>
          </rPr>
          <t xml:space="preserve">Nombre d'équivalents temps plein
1 ETP = 1607 heures / an
</t>
        </r>
      </text>
    </comment>
    <comment ref="N17" authorId="0">
      <text>
        <r>
          <rPr>
            <sz val="8"/>
            <color indexed="12"/>
            <rFont val="Tahoma"/>
            <family val="2"/>
          </rPr>
          <t xml:space="preserve">Répartition du temps de travail selon les effectifs en ETP par activités, calculs qui permet de ventiler les charges fixes et directes dans l'onglet "6, Détails activités passés"
</t>
        </r>
      </text>
    </comment>
    <comment ref="M18" authorId="0">
      <text>
        <r>
          <rPr>
            <sz val="8"/>
            <color indexed="12"/>
            <rFont val="Tahoma"/>
            <family val="2"/>
          </rPr>
          <t xml:space="preserve">= Heures rémunérées encadrants + heures rémunérées intervenants
</t>
        </r>
      </text>
    </comment>
    <comment ref="C30" authorId="0">
      <text>
        <r>
          <rPr>
            <sz val="8"/>
            <color indexed="12"/>
            <rFont val="Tahoma"/>
            <family val="2"/>
          </rPr>
          <t xml:space="preserve">Indiquer une moyenne sur l'année à titre d'information
</t>
        </r>
      </text>
    </comment>
    <comment ref="D30" authorId="0">
      <text>
        <r>
          <rPr>
            <sz val="8"/>
            <color indexed="12"/>
            <rFont val="Tahoma"/>
            <family val="2"/>
          </rPr>
          <t xml:space="preserve">Nombre d'équivalents temps plein
1 ETP = 1607 heures / an
</t>
        </r>
      </text>
    </comment>
    <comment ref="N30" authorId="0">
      <text>
        <r>
          <rPr>
            <sz val="8"/>
            <color indexed="12"/>
            <rFont val="Tahoma"/>
            <family val="2"/>
          </rPr>
          <t xml:space="preserve">Répartition du temps de travail selon les effectifs en ETP par activités, calculs qui permet de ventiler les charges fixes et directes dans l'onglet "6, Détails activités passés"
</t>
        </r>
      </text>
    </comment>
    <comment ref="M31" authorId="0">
      <text>
        <r>
          <rPr>
            <sz val="8"/>
            <color indexed="12"/>
            <rFont val="Tahoma"/>
            <family val="2"/>
          </rPr>
          <t xml:space="preserve">= Heures rémunérées encadrants + heures rémunérées intervenants
</t>
        </r>
      </text>
    </comment>
    <comment ref="C43" authorId="0">
      <text>
        <r>
          <rPr>
            <sz val="8"/>
            <color indexed="12"/>
            <rFont val="Tahoma"/>
            <family val="2"/>
          </rPr>
          <t xml:space="preserve">Indiquer une moyenne sur l'année à titre d'information
</t>
        </r>
      </text>
    </comment>
    <comment ref="D43" authorId="0">
      <text>
        <r>
          <rPr>
            <sz val="8"/>
            <color indexed="12"/>
            <rFont val="Tahoma"/>
            <family val="2"/>
          </rPr>
          <t>Nombre d'équivalents temps plein
1 ETP = 1607 heures / an</t>
        </r>
      </text>
    </comment>
    <comment ref="N43" authorId="0">
      <text>
        <r>
          <rPr>
            <sz val="8"/>
            <color indexed="12"/>
            <rFont val="Tahoma"/>
            <family val="2"/>
          </rPr>
          <t xml:space="preserve">Répartition du temps de travail selon les effectifs en ETP par activités, calculs qui permet de ventiler les charges fixes et directes dans l'onglet "6, Détails activités passés"
</t>
        </r>
      </text>
    </comment>
    <comment ref="M44" authorId="0">
      <text>
        <r>
          <rPr>
            <sz val="8"/>
            <color indexed="12"/>
            <rFont val="Tahoma"/>
            <family val="2"/>
          </rPr>
          <t xml:space="preserve">= Heures rémunérées encadrants + heures rémunérées intervenants
</t>
        </r>
      </text>
    </comment>
    <comment ref="C56" authorId="0">
      <text>
        <r>
          <rPr>
            <sz val="8"/>
            <color indexed="12"/>
            <rFont val="Tahoma"/>
            <family val="2"/>
          </rPr>
          <t xml:space="preserve">Indiquer une moyenne sur l'année à titre d'information
</t>
        </r>
      </text>
    </comment>
    <comment ref="D56" authorId="0">
      <text>
        <r>
          <rPr>
            <sz val="8"/>
            <color indexed="12"/>
            <rFont val="Tahoma"/>
            <family val="2"/>
          </rPr>
          <t xml:space="preserve">Nombre d'équivalents temps plein
1 ETP = 1607 heures / an
</t>
        </r>
      </text>
    </comment>
    <comment ref="N56" authorId="0">
      <text>
        <r>
          <rPr>
            <sz val="8"/>
            <color indexed="12"/>
            <rFont val="Tahoma"/>
            <family val="2"/>
          </rPr>
          <t xml:space="preserve">Répartition du temps de travail selon les effectifs en ETP par activités, calculs qui permet de ventiler les charges fixes et directes dans l'onglet "6, Détails activités passés"
</t>
        </r>
      </text>
    </comment>
    <comment ref="M57" authorId="0">
      <text>
        <r>
          <rPr>
            <sz val="8"/>
            <color indexed="12"/>
            <rFont val="Tahoma"/>
            <family val="2"/>
          </rPr>
          <t xml:space="preserve"> = Heures rémunérées encadrants + heures rémunérées intervenants
</t>
        </r>
      </text>
    </comment>
    <comment ref="C69" authorId="0">
      <text>
        <r>
          <rPr>
            <sz val="8"/>
            <color indexed="12"/>
            <rFont val="Tahoma"/>
            <family val="2"/>
          </rPr>
          <t xml:space="preserve">Indiquer une moyenne sur l'année à titre d'information
</t>
        </r>
      </text>
    </comment>
    <comment ref="D69" authorId="0">
      <text>
        <r>
          <rPr>
            <sz val="8"/>
            <color indexed="12"/>
            <rFont val="Tahoma"/>
            <family val="2"/>
          </rPr>
          <t xml:space="preserve">Nombre d'équivalents temps plein
1 ETP = 1607 heures / an
</t>
        </r>
      </text>
    </comment>
    <comment ref="N69" authorId="0">
      <text>
        <r>
          <rPr>
            <sz val="8"/>
            <color indexed="12"/>
            <rFont val="Tahoma"/>
            <family val="2"/>
          </rPr>
          <t xml:space="preserve">Répartition du temps de travail selon les effectifs en ETP par activités, calculs qui permet de ventiler les charges fixes et directes dans l'onglet "6, Détails activités passés"
</t>
        </r>
      </text>
    </comment>
    <comment ref="M70" authorId="0">
      <text>
        <r>
          <rPr>
            <sz val="8"/>
            <color indexed="12"/>
            <rFont val="Tahoma"/>
            <family val="2"/>
          </rPr>
          <t xml:space="preserve">= Heures rémunérées encadrants + heures rémunérées intervenants
</t>
        </r>
      </text>
    </comment>
  </commentList>
</comments>
</file>

<file path=xl/comments5.xml><?xml version="1.0" encoding="utf-8"?>
<comments xmlns="http://schemas.openxmlformats.org/spreadsheetml/2006/main">
  <authors>
    <author>Astrid BLOMART</author>
  </authors>
  <commentList>
    <comment ref="B21" authorId="0">
      <text>
        <r>
          <rPr>
            <sz val="8"/>
            <color indexed="12"/>
            <rFont val="Tahoma"/>
            <family val="2"/>
          </rPr>
          <t xml:space="preserve">Hors"Soins à domicile" pour lesquels les activités sont comptabilisées en nombre d'actes (CSI) ou en nombre de places (SSIAD)
</t>
        </r>
      </text>
    </comment>
    <comment ref="B63" authorId="0">
      <text>
        <r>
          <rPr>
            <sz val="8"/>
            <color indexed="12"/>
            <rFont val="Tahoma"/>
            <family val="2"/>
          </rPr>
          <t xml:space="preserve">Nombre d'heures rémunérées des encadrants / nombre total d'heures rémunérées
</t>
        </r>
      </text>
    </comment>
    <comment ref="B64" authorId="0">
      <text>
        <r>
          <rPr>
            <sz val="8"/>
            <color indexed="12"/>
            <rFont val="Tahoma"/>
            <family val="2"/>
          </rPr>
          <t xml:space="preserve">En ETP
</t>
        </r>
      </text>
    </comment>
  </commentList>
</comments>
</file>

<file path=xl/comments6.xml><?xml version="1.0" encoding="utf-8"?>
<comments xmlns="http://schemas.openxmlformats.org/spreadsheetml/2006/main">
  <authors>
    <author>Astrid BLOMART</author>
    <author>CecileK</author>
    <author>BARKAB</author>
  </authors>
  <commentList>
    <comment ref="AA7" authorId="0">
      <text>
        <r>
          <rPr>
            <sz val="8"/>
            <color indexed="12"/>
            <rFont val="Tahoma"/>
            <family val="2"/>
          </rPr>
          <t xml:space="preserve">Vérifie si la somme des données par activité est bien égale au montant indiqué dans les comptes de résultat.
Si différent de "ok", une valeur négative indique le montant qui manque, une valeur positive indique la somme excédentaire.
</t>
        </r>
      </text>
    </comment>
    <comment ref="AC7" authorId="0">
      <text>
        <r>
          <rPr>
            <sz val="8"/>
            <color indexed="12"/>
            <rFont val="Tahoma"/>
            <family val="2"/>
          </rPr>
          <t xml:space="preserve">Vérifie si la somme des données par activité est bien égale au montant indiqué dans les comptes de résultat.
Si différent de "ok", une valeur négative indique le montant qui manque, une valeur positive indique la somme excédentaire.
</t>
        </r>
      </text>
    </comment>
    <comment ref="AE7" authorId="0">
      <text>
        <r>
          <rPr>
            <sz val="8"/>
            <color indexed="12"/>
            <rFont val="Tahoma"/>
            <family val="2"/>
          </rPr>
          <t xml:space="preserve">Vérifie si la somme des données par activité est bien égale au montant indiqué dans les comptes de résultat.
Si différent de "ok", une valeur négative indique le montant qui manque, une valeur positive indique la somme excédentaire.
</t>
        </r>
      </text>
    </comment>
    <comment ref="B8" authorId="0">
      <text>
        <r>
          <rPr>
            <sz val="8"/>
            <color indexed="12"/>
            <rFont val="Tahoma"/>
            <family val="2"/>
          </rPr>
          <t xml:space="preserve">
Reprise du résultat "répartition des effectifs" calculé dans l'onglet 4 à partir du nombre d'ETP par activité. Cette clé de répartition sert à ventiler de façon automatique les charges directes et fixes pour chaque activité.
</t>
        </r>
      </text>
    </comment>
    <comment ref="B9" authorId="1">
      <text>
        <r>
          <rPr>
            <sz val="8"/>
            <color indexed="12"/>
            <rFont val="Tahoma"/>
            <family val="2"/>
          </rPr>
          <t>A indiquer en % :
- Peut correspondre à la clé de répartition proposée en calcul automatique à partir des heures rémunérées par activités (cf. onglet "répartition des effectifs") : dans ce cas indiquer la même valeur que la case au dessus (ligne 8).
- Peut correspondre à une autre valeur à choisir librement : dans ce cas veiller à ce que la somme des clés de répartition soit égale à 100%, cf. cases "contrôle".</t>
        </r>
      </text>
    </comment>
    <comment ref="B34" authorId="2">
      <text>
        <r>
          <rPr>
            <sz val="8"/>
            <color indexed="12"/>
            <rFont val="Tahoma"/>
            <family val="2"/>
          </rPr>
          <t xml:space="preserve">Comptabiliser tous les Achats et charges (hors salaires) liés directement à la mise en œuvre des activités (consommables, essence…)
</t>
        </r>
      </text>
    </comment>
    <comment ref="B36" authorId="1">
      <text>
        <r>
          <rPr>
            <sz val="8"/>
            <color indexed="12"/>
            <rFont val="Tahoma"/>
            <family val="2"/>
          </rPr>
          <t>Hors IS (Impôt sur les sociétés) le cas échéant.</t>
        </r>
      </text>
    </comment>
    <comment ref="B37" authorId="0">
      <text>
        <r>
          <rPr>
            <sz val="8"/>
            <color indexed="12"/>
            <rFont val="Tahoma"/>
            <family val="2"/>
          </rPr>
          <t xml:space="preserve">= "répartition automatique" (calculés à partir de la clé de répartition) + "variations" (saisie libre permettant de faire varier la masse salariale si le calcul automatique avec la clé de répartition ne convient pas).
</t>
        </r>
      </text>
    </comment>
    <comment ref="B39" authorId="0">
      <text>
        <r>
          <rPr>
            <sz val="8"/>
            <color indexed="12"/>
            <rFont val="Tahoma"/>
            <family val="2"/>
          </rPr>
          <t>Saisie libre permettant de faire varier la masse salariale si le calcul automatique avec la clé de répartition ne convient pas.</t>
        </r>
      </text>
    </comment>
    <comment ref="B40" authorId="0">
      <text>
        <r>
          <rPr>
            <sz val="8"/>
            <color indexed="12"/>
            <rFont val="Tahoma"/>
            <family val="2"/>
          </rPr>
          <t>Cette cellule est à renseigner afin d'isoler les charges variables de la masse salariale, elle ne rentre pas dans le calcul du total des salaires mais permet de calculer le taux de marge sur coûts variables dans l'onglet "11,synthèse par activité".</t>
        </r>
      </text>
    </comment>
    <comment ref="B41" authorId="0">
      <text>
        <r>
          <rPr>
            <sz val="8"/>
            <color indexed="12"/>
            <rFont val="Tahoma"/>
            <family val="2"/>
          </rPr>
          <t xml:space="preserve">= "répartition automatique" (calculés à partir de la clé de répartition) + "variations" (saisie libre permettant de faire varier la masse salariale si le calcul automatique avec la clé de répartition ne convient pas).
</t>
        </r>
      </text>
    </comment>
    <comment ref="B43" authorId="0">
      <text>
        <r>
          <rPr>
            <sz val="8"/>
            <color indexed="12"/>
            <rFont val="Tahoma"/>
            <family val="2"/>
          </rPr>
          <t>Saisie libre permettant de faire varier la masse salariale si le calcul automatique avec la clé de répartition ne convient pas.</t>
        </r>
      </text>
    </comment>
    <comment ref="B44" authorId="0">
      <text>
        <r>
          <rPr>
            <sz val="8"/>
            <color indexed="12"/>
            <rFont val="Tahoma"/>
            <family val="2"/>
          </rPr>
          <t>Cette cellule est à renseigner afin d'isoler les charges variables de la masse salariale, elle ne rentre pas dans le calcul du total des salaires mais permet de calculer le taux de marge sur coûts variables dans l'onglet "11,synthèse par activité".</t>
        </r>
      </text>
    </comment>
    <comment ref="B53" authorId="0">
      <text>
        <r>
          <rPr>
            <sz val="8"/>
            <color indexed="12"/>
            <rFont val="Tahoma"/>
            <family val="2"/>
          </rPr>
          <t xml:space="preserve">Commentaires sur la saisie: choix et hypothèses retenus,  retraitements effectués, etc.
</t>
        </r>
      </text>
    </comment>
  </commentList>
</comments>
</file>

<file path=xl/comments7.xml><?xml version="1.0" encoding="utf-8"?>
<comments xmlns="http://schemas.openxmlformats.org/spreadsheetml/2006/main">
  <authors>
    <author>Astrid BLOMART</author>
  </authors>
  <commentList>
    <comment ref="K2" authorId="0">
      <text>
        <r>
          <rPr>
            <sz val="8"/>
            <color indexed="39"/>
            <rFont val="Tahoma"/>
            <family val="2"/>
          </rPr>
          <t xml:space="preserve">Cliquer sur cette case pour afficher des budgets prévisionnels sur 5 ans </t>
        </r>
      </text>
    </comment>
    <comment ref="E6" authorId="0">
      <text>
        <r>
          <rPr>
            <sz val="8"/>
            <color indexed="39"/>
            <rFont val="Tahoma"/>
            <family val="2"/>
          </rPr>
          <t xml:space="preserve">Les données pour cette année sont repirses du budget prévisionnel actualisé indiqué dans l'onglet "3.Comptes passés &amp; en cours", excepté pour les données concernant le CA : "facturation 1/3 payeur" et "Participation des usagers" qui sont issues de l'onglet suivant et pour lesquels il faut donc avoir renseigné au préalable cette partie dans l'onglet "8. Détails activités prév."
</t>
        </r>
      </text>
    </comment>
    <comment ref="E7" authorId="0">
      <text>
        <r>
          <rPr>
            <sz val="8"/>
            <color indexed="39"/>
            <rFont val="Tahoma"/>
            <family val="2"/>
          </rPr>
          <t xml:space="preserve">Calcul automatique - saisir au préalable le tableau "chiffre d'affaire prévisionnel" de l'onglet "8,Détails activités prévisionnelles"
</t>
        </r>
      </text>
    </comment>
    <comment ref="F7" authorId="0">
      <text>
        <r>
          <rPr>
            <sz val="8"/>
            <color indexed="39"/>
            <rFont val="Tahoma"/>
            <family val="2"/>
          </rPr>
          <t xml:space="preserve">Calcul automatique - saisir au préalable le tableau "chiffre d'affaire prévisionnel" de l'onglet "8,Détails activités prévisionnelles"
</t>
        </r>
      </text>
    </comment>
    <comment ref="G7" authorId="0">
      <text>
        <r>
          <rPr>
            <sz val="8"/>
            <color indexed="39"/>
            <rFont val="Tahoma"/>
            <family val="2"/>
          </rPr>
          <t xml:space="preserve">Calcul automatique - saisir au préalable le tableau "chiffre d'affaire prévisionnel" de l'onglet "8,Détails activités prévisionnelles"
</t>
        </r>
      </text>
    </comment>
    <comment ref="E8" authorId="0">
      <text>
        <r>
          <rPr>
            <sz val="8"/>
            <color indexed="39"/>
            <rFont val="Tahoma"/>
            <family val="2"/>
          </rPr>
          <t xml:space="preserve">Calcul automatique - saisir au préalable le tableau "chiffre d'affaire prévisionnel" de l'onglet "8,Détails activités prévisionnelles"
</t>
        </r>
      </text>
    </comment>
    <comment ref="F8" authorId="0">
      <text>
        <r>
          <rPr>
            <sz val="8"/>
            <color indexed="39"/>
            <rFont val="Tahoma"/>
            <family val="2"/>
          </rPr>
          <t xml:space="preserve">Calcul automatique - saisir au préalable le tableau "chiffre d'affaire prévisionnel" de l'onglet "8,Détails activités prévisionnelles"
</t>
        </r>
      </text>
    </comment>
    <comment ref="G8" authorId="0">
      <text>
        <r>
          <rPr>
            <sz val="8"/>
            <color indexed="39"/>
            <rFont val="Tahoma"/>
            <family val="2"/>
          </rPr>
          <t xml:space="preserve">Calcul automatique - saisir au préalable le tableau "chiffre d'affaire prévisionnel" de l'onglet "8,Détails activités prévisionnelles"
</t>
        </r>
      </text>
    </comment>
    <comment ref="D20" authorId="0">
      <text>
        <r>
          <rPr>
            <sz val="8"/>
            <color indexed="39"/>
            <rFont val="Tahoma"/>
            <family val="2"/>
          </rPr>
          <t>= Report des ressources non utilisées des exercices antérieurs</t>
        </r>
      </text>
    </comment>
    <comment ref="D22" authorId="0">
      <text>
        <r>
          <rPr>
            <sz val="8"/>
            <color indexed="12"/>
            <rFont val="Tahoma"/>
            <family val="2"/>
          </rPr>
          <t>Comptabiliser tous les Achats et charges (hors salaires) liés directement à la mise en œuvre des activités (consommables, essence…)</t>
        </r>
      </text>
    </comment>
    <comment ref="D24" authorId="0">
      <text>
        <r>
          <rPr>
            <sz val="8"/>
            <color indexed="39"/>
            <rFont val="Tahoma"/>
            <family val="2"/>
          </rPr>
          <t xml:space="preserve">Hors IS (Impôt sur les sociétés) le cas échéant
</t>
        </r>
      </text>
    </comment>
    <comment ref="D30" authorId="0">
      <text>
        <r>
          <rPr>
            <sz val="8"/>
            <color indexed="39"/>
            <rFont val="Tahoma"/>
            <family val="2"/>
          </rPr>
          <t>Calcul automatique à partir de l'onglet "8,Plan d'investissement"</t>
        </r>
      </text>
    </comment>
    <comment ref="D35" authorId="0">
      <text>
        <r>
          <rPr>
            <sz val="8"/>
            <color indexed="39"/>
            <rFont val="Tahoma"/>
            <family val="2"/>
          </rPr>
          <t xml:space="preserve">= Impôt sur les sociétés 
+ engagements à réaliser sur ressources affectées
+ participation des salariés au résultat
</t>
        </r>
      </text>
    </comment>
    <comment ref="B44" authorId="0">
      <text>
        <r>
          <rPr>
            <sz val="8"/>
            <color indexed="39"/>
            <rFont val="Tahoma"/>
            <family val="2"/>
          </rPr>
          <t xml:space="preserve">Commentaires sur la saisie:  choix et hypothèses retenus,  retraitements effectués, etc.
</t>
        </r>
      </text>
    </comment>
  </commentList>
</comments>
</file>

<file path=xl/comments8.xml><?xml version="1.0" encoding="utf-8"?>
<comments xmlns="http://schemas.openxmlformats.org/spreadsheetml/2006/main">
  <authors>
    <author>Astrid BLOMART</author>
  </authors>
  <commentList>
    <comment ref="AH7" authorId="0">
      <text>
        <r>
          <rPr>
            <sz val="8"/>
            <color indexed="39"/>
            <rFont val="Tahoma"/>
            <family val="2"/>
          </rPr>
          <t xml:space="preserve">Vérifie si la somme des données par activité est bien égale au montant indiqué dans les comptes de résultat.
Si différent de "ok", une valeur négative indique le montant qui manque, une valeur positive indique la somme excédentaire.
</t>
        </r>
      </text>
    </comment>
    <comment ref="AJ7" authorId="0">
      <text>
        <r>
          <rPr>
            <sz val="8"/>
            <color indexed="39"/>
            <rFont val="Tahoma"/>
            <family val="2"/>
          </rPr>
          <t xml:space="preserve">Vérifie si la somme des données par activité est bien égale au montant indiqué dans les comptes de résultat.
Si différent de "ok", une valeur négative indique le montant qui manque, une valeur positive indique la somme excédentaire.
</t>
        </r>
      </text>
    </comment>
    <comment ref="AL7" authorId="0">
      <text>
        <r>
          <rPr>
            <sz val="8"/>
            <color indexed="39"/>
            <rFont val="Tahoma"/>
            <family val="2"/>
          </rPr>
          <t xml:space="preserve">Vérifie si la somme des données par activité est bien égale au montant indiqué dans les comptes de résultat.
Si différent de "ok", une valeur négative indique le montant qui manque, une valeur positive indique la somme excédentaire.
</t>
        </r>
      </text>
    </comment>
    <comment ref="B8" authorId="0">
      <text>
        <r>
          <rPr>
            <sz val="8"/>
            <color indexed="39"/>
            <rFont val="Tahoma"/>
            <family val="2"/>
          </rPr>
          <t xml:space="preserve">Reprise du résultat "répartition des effectifs" calculé dans l'onglet 4 à partir du nombre d'ETP par activité. Cette clé de répartition sert à ventiler de façon automatique les charges directes et fixes pour chaque activité.
</t>
        </r>
      </text>
    </comment>
    <comment ref="B9" authorId="0">
      <text>
        <r>
          <rPr>
            <sz val="8"/>
            <color indexed="39"/>
            <rFont val="Tahoma"/>
            <family val="2"/>
          </rPr>
          <t>A indiquer en % :
- Peut correspondre à la clé de répartition proposée en calcul automatique à partir des heures rémunérées par activités (cf. onglet "répartition des effectifs") : dans ce cas indiquer la même valeur que la case au dessus (ligne 8).
- Peut correspondre à une autre valeur à choisir librement : dans ce cas veiller à ce que la somme des clés de répartition soit égale à 100%, cf. cases "contrôle" V9, W9, X9.</t>
        </r>
      </text>
    </comment>
    <comment ref="B11" authorId="0">
      <text>
        <r>
          <rPr>
            <sz val="8"/>
            <color indexed="12"/>
            <rFont val="Tahoma"/>
            <family val="2"/>
          </rPr>
          <t xml:space="preserve">Calcul  automatique à partir des détails du volume prévisionnel d'heures facturées (cf. tableau ci-dessous "Chiffre d'Affaire prévisionnel").
</t>
        </r>
      </text>
    </comment>
    <comment ref="B14" authorId="0">
      <text>
        <r>
          <rPr>
            <sz val="8"/>
            <color indexed="39"/>
            <rFont val="Tahoma"/>
            <family val="2"/>
          </rPr>
          <t>Calcul  automatique à partir des détails du CA prévisionnel (cf. tableau en bas de page)</t>
        </r>
      </text>
    </comment>
    <comment ref="B15" authorId="0">
      <text>
        <r>
          <rPr>
            <sz val="8"/>
            <color indexed="12"/>
            <rFont val="Tahoma"/>
            <family val="2"/>
          </rPr>
          <t xml:space="preserve">Calcul  automatique à partir des détails du CA prévisionnel (cf. tableau en bas de page)
</t>
        </r>
      </text>
    </comment>
    <comment ref="B27" authorId="0">
      <text>
        <r>
          <rPr>
            <sz val="8"/>
            <color indexed="12"/>
            <rFont val="Tahoma"/>
            <family val="2"/>
          </rPr>
          <t xml:space="preserve">= "dont répartition automatique" (calculés à partir de la clé de répartition) + "dont variations" (saisie libre permettant de faire varier la masse salariale si le calcul automatique avec la clé de répartition ne convient pas).
</t>
        </r>
      </text>
    </comment>
    <comment ref="B29" authorId="0">
      <text>
        <r>
          <rPr>
            <sz val="8"/>
            <color indexed="12"/>
            <rFont val="Tahoma"/>
            <family val="2"/>
          </rPr>
          <t>Saisie libre permettant de faire varier la masse salariale si le calcul automatique avec la clé de répartition ne convient pas.</t>
        </r>
      </text>
    </comment>
    <comment ref="B30" authorId="0">
      <text>
        <r>
          <rPr>
            <sz val="8"/>
            <color indexed="12"/>
            <rFont val="Tahoma"/>
            <family val="2"/>
          </rPr>
          <t>Cette cellule est à renseigner afin d'isoler les charges variables de la masse salariale, elle ne rentre pas dans le calcul du total des salaires mais permet de calculer le taux de marge sur coûts variables dans l'onglet "11,synthèse par activité".</t>
        </r>
      </text>
    </comment>
    <comment ref="B31" authorId="0">
      <text>
        <r>
          <rPr>
            <sz val="8"/>
            <color indexed="12"/>
            <rFont val="Tahoma"/>
            <family val="2"/>
          </rPr>
          <t xml:space="preserve">= "dont répartition automatique" (calculés à partir de la clé de répartition) + "dont variations" (saisie libre permettant de faire varier la masse salariale si le calcul automatique avec la clé de répartition ne convient pas).
</t>
        </r>
      </text>
    </comment>
    <comment ref="B33" authorId="0">
      <text>
        <r>
          <rPr>
            <sz val="8"/>
            <color indexed="12"/>
            <rFont val="Tahoma"/>
            <family val="2"/>
          </rPr>
          <t>Saisie libre permettant de faire varier la masse salariale si le calcul automatique avec la clé de répartition ne convient pas.</t>
        </r>
      </text>
    </comment>
    <comment ref="B34" authorId="0">
      <text>
        <r>
          <rPr>
            <sz val="8"/>
            <color indexed="12"/>
            <rFont val="Tahoma"/>
            <family val="2"/>
          </rPr>
          <t>Cette cellule est à renseigner afin d'isoler les charges variables de la masse salariale, elle ne rentre pas dans le calcul du total des salaires mais permet de calculer le taux de marge sur coûts variables dans l'onglet "11,synthèse par activité".</t>
        </r>
      </text>
    </comment>
  </commentList>
</comments>
</file>

<file path=xl/comments9.xml><?xml version="1.0" encoding="utf-8"?>
<comments xmlns="http://schemas.openxmlformats.org/spreadsheetml/2006/main">
  <authors>
    <author>Astrid BLOMART</author>
  </authors>
  <commentList>
    <comment ref="C4" authorId="0">
      <text>
        <r>
          <rPr>
            <sz val="8"/>
            <color indexed="39"/>
            <rFont val="Tahoma"/>
            <family val="2"/>
          </rPr>
          <t xml:space="preserve">Inscrire dans cette colonne le montant de l'achat pour l'année correspondante :  les montants sont à saisir en HT pour les structures fiscalisées, en TTC pour les autres.
</t>
        </r>
      </text>
    </comment>
    <comment ref="F5" authorId="0">
      <text>
        <r>
          <rPr>
            <sz val="8"/>
            <color indexed="39"/>
            <rFont val="Tahoma"/>
            <family val="2"/>
          </rPr>
          <t xml:space="preserve">Calcule la somme du montant des investissements pour les 3 années prévisionnelles
</t>
        </r>
      </text>
    </comment>
    <comment ref="G5" authorId="0">
      <text>
        <r>
          <rPr>
            <sz val="8"/>
            <color indexed="39"/>
            <rFont val="Tahoma"/>
            <family val="2"/>
          </rPr>
          <t xml:space="preserve">Indiquer la date d'achat au format : JJ/MM/AA
</t>
        </r>
      </text>
    </comment>
    <comment ref="H5" authorId="0">
      <text>
        <r>
          <rPr>
            <sz val="8"/>
            <color indexed="39"/>
            <rFont val="Tahoma"/>
            <family val="2"/>
          </rPr>
          <t xml:space="preserve">Indiquer la durée d'utilisation en nombre d'années. Elle correspond à la durée d'amortissement, pour la connaître : il y a des barèmes disponibles sur internet ou auprès de son comptable. On raisonne ici en amortissement linéaire.
Par exemple, il faut indiquer  3" pour du matériel informatique qui s'amortit sur 3 ans.
</t>
        </r>
      </text>
    </comment>
    <comment ref="I5" authorId="0">
      <text>
        <r>
          <rPr>
            <sz val="8"/>
            <color indexed="39"/>
            <rFont val="Tahoma"/>
            <family val="2"/>
          </rPr>
          <t xml:space="preserve"> Les dotations aux amortissements sont cumulées pour être reportées automatiquement dans les budgets prévisionnels correspondants.
</t>
        </r>
      </text>
    </comment>
  </commentList>
</comments>
</file>

<file path=xl/sharedStrings.xml><?xml version="1.0" encoding="utf-8"?>
<sst xmlns="http://schemas.openxmlformats.org/spreadsheetml/2006/main" count="1138" uniqueCount="600">
  <si>
    <t>Taux de rentabilité d'exploitation</t>
  </si>
  <si>
    <t>Onglet synthèse situation économique</t>
  </si>
  <si>
    <t>Courbe cycle exploitation</t>
  </si>
  <si>
    <t>Composition charges produits / activité</t>
  </si>
  <si>
    <t>Appréciation sur la qualité de la gouvernance</t>
  </si>
  <si>
    <t>Mise en place d'un plan de restructuration pour réduire les coûts</t>
  </si>
  <si>
    <t>Fonds associatifs et réserves</t>
  </si>
  <si>
    <t>CHARGES</t>
  </si>
  <si>
    <t>PRODUITS</t>
  </si>
  <si>
    <t>Autres (engagements à réaliser, IS...)</t>
  </si>
  <si>
    <t>Résultats antérieurs et de l'exercice</t>
  </si>
  <si>
    <t>Analyse de l'évolution heures facturées / rémunérées</t>
  </si>
  <si>
    <t>Indicateurs économiques par activité</t>
  </si>
  <si>
    <t>Facturation 1/3 payeurs</t>
    <phoneticPr fontId="50" type="noConversion"/>
  </si>
  <si>
    <t>Participation des usagers</t>
    <phoneticPr fontId="50" type="noConversion"/>
  </si>
  <si>
    <t>Participation des usagers</t>
    <phoneticPr fontId="50" type="noConversion"/>
  </si>
  <si>
    <t>Charges variables (yc intervenants)</t>
    <phoneticPr fontId="50" type="noConversion"/>
  </si>
  <si>
    <t>Heures rémunérées intervenants à domicile</t>
  </si>
  <si>
    <t>Heures rémunérée encadrants directs</t>
  </si>
  <si>
    <t>Taux de Marge sur coûts variables</t>
  </si>
  <si>
    <t>Ratios d'analyse économique</t>
  </si>
  <si>
    <t>Evolution du Fond de Roulement</t>
  </si>
  <si>
    <t>Besoin en Fonds de Roulement</t>
  </si>
  <si>
    <t>Evolution des produits d'exploitation</t>
  </si>
  <si>
    <t xml:space="preserve">   dont Conseil Général APA </t>
  </si>
  <si>
    <t xml:space="preserve">   dont Conseil Général PCH</t>
  </si>
  <si>
    <t xml:space="preserve">   dont Conseil Général ASE TISF</t>
  </si>
  <si>
    <t xml:space="preserve">   dont Conseil Général AVS et autres</t>
  </si>
  <si>
    <t xml:space="preserve">   dont Mutuelles</t>
  </si>
  <si>
    <t xml:space="preserve">   dont CAF TISF</t>
  </si>
  <si>
    <t xml:space="preserve">   dont CAF AVS et autres</t>
  </si>
  <si>
    <t xml:space="preserve">   dont Chiffre d'affaires soins à domicile</t>
  </si>
  <si>
    <t>Différenciel</t>
  </si>
  <si>
    <t>Autres</t>
  </si>
  <si>
    <t>Total heures facturées</t>
  </si>
  <si>
    <t>Données qualitatives sur la situation de la structure</t>
  </si>
  <si>
    <t>Cessation d'une ou plusieurs activités en</t>
  </si>
  <si>
    <t>Il se compose de 3 parties :</t>
  </si>
  <si>
    <t>Produits d'exploitation</t>
  </si>
  <si>
    <t>Graphe CR</t>
  </si>
  <si>
    <t>Pour une aide à la saisie, des commentaires de cellules indiquent précisemment les informations attendues.</t>
  </si>
  <si>
    <t>Evolution du résultat et des produits d'exploitation</t>
  </si>
  <si>
    <t>Evolution de la structure du bilan</t>
  </si>
  <si>
    <t>Evolution du nombre de salariés et d'ETP</t>
  </si>
  <si>
    <t>Evolution du nombre d'heures rémunérées</t>
  </si>
  <si>
    <t>Ratios d'analyse des effectifs</t>
  </si>
  <si>
    <t>UNA; ADMR; Adessa A Domicile; Familles Rurales; FNAAFP/CSF; Proxim' Services; Autre</t>
  </si>
  <si>
    <t>Présentation de la structure</t>
  </si>
  <si>
    <t>Présentation de l'outil de diagnostic</t>
  </si>
  <si>
    <t>Données Activités</t>
  </si>
  <si>
    <t>Evolution globale du nombre d'usagers depuis</t>
  </si>
  <si>
    <t>Evolution globale du volume horaire d'activités depuis</t>
  </si>
  <si>
    <t>Nombre total de salariés à fin</t>
  </si>
  <si>
    <t>Données Ressources Humaines</t>
  </si>
  <si>
    <t xml:space="preserve">Budget formation hors cotisations légales </t>
  </si>
  <si>
    <t>Données Gestion</t>
  </si>
  <si>
    <t>Besoins actuels en accompagnement / financement</t>
  </si>
  <si>
    <t>Procédures juridiques</t>
  </si>
  <si>
    <t xml:space="preserve">   … Antérieures</t>
  </si>
  <si>
    <t xml:space="preserve">   … Actuelles</t>
  </si>
  <si>
    <t xml:space="preserve">   … Prévisibles</t>
  </si>
  <si>
    <t>Evolution des délais moyens de règlement des financeurs publics</t>
  </si>
  <si>
    <t>Evolution des délais moyens de règlement des clients</t>
  </si>
  <si>
    <t>Taux de rentabilité nette</t>
  </si>
  <si>
    <t>Bilans passés</t>
  </si>
  <si>
    <t>Comptes de résultats passés</t>
  </si>
  <si>
    <t>Activité de l'année en cours</t>
  </si>
  <si>
    <t>Date dernière balance comptable intermédiaire</t>
  </si>
  <si>
    <t>Variation année précédente ETP</t>
  </si>
  <si>
    <t>Répartition des effectifs</t>
  </si>
  <si>
    <t>Taux de personnel administratif</t>
  </si>
  <si>
    <t>Autre</t>
  </si>
  <si>
    <t>Proxim' Services</t>
  </si>
  <si>
    <t>Adessa A Domicile</t>
  </si>
  <si>
    <t>Comptes passés / activité</t>
  </si>
  <si>
    <t xml:space="preserve">   dont reprise de résultat sous contrôles de 1/3</t>
  </si>
  <si>
    <t>Nombre d'heures rémunérées</t>
  </si>
  <si>
    <t>Nombre de salariés</t>
  </si>
  <si>
    <t>Total</t>
  </si>
  <si>
    <t>Administratifs (direction, secrétariat…)</t>
  </si>
  <si>
    <t>Total :</t>
  </si>
  <si>
    <t>Nombre ETP</t>
  </si>
  <si>
    <t>(2) dont concours bancaires courant (découvert)</t>
  </si>
  <si>
    <t>(1) dont cessions de créances</t>
  </si>
  <si>
    <t xml:space="preserve">   dont dettes sociales et fiscales</t>
  </si>
  <si>
    <t xml:space="preserve">   dont aides à l'emploi</t>
  </si>
  <si>
    <t xml:space="preserve">   dont reprises sur provisions</t>
  </si>
  <si>
    <t xml:space="preserve">   dont mise à disposition de locaux</t>
  </si>
  <si>
    <t>Total Produits d’exploitation</t>
  </si>
  <si>
    <t>Autres (report des ressources)</t>
  </si>
  <si>
    <t>Participation des usagers</t>
  </si>
  <si>
    <t>Subventions d'exploitation</t>
  </si>
  <si>
    <t>Clé de répartition retenue (en %)</t>
  </si>
  <si>
    <t>Facturation 1/3 payeurs (CG, CRAM, CAF...)</t>
  </si>
  <si>
    <t>Nombre de bénéficiaires</t>
  </si>
  <si>
    <t>Mode de saisie des données (€ ou K€)</t>
  </si>
  <si>
    <t>Environnement économique</t>
  </si>
  <si>
    <t>Total Fonds propres</t>
  </si>
  <si>
    <t xml:space="preserve">   dont intervenants à domicile</t>
  </si>
  <si>
    <t xml:space="preserve">   dont mise à disposition de personnel</t>
  </si>
  <si>
    <t>FNAAFP/CSF</t>
  </si>
  <si>
    <t>Services d'aide à domicile - Mandataire</t>
  </si>
  <si>
    <t>Réseau</t>
  </si>
  <si>
    <t>UNA</t>
  </si>
  <si>
    <t>ADMR</t>
  </si>
  <si>
    <t>Familles Rurales</t>
  </si>
  <si>
    <t>Données générales</t>
  </si>
  <si>
    <t>Activités</t>
  </si>
  <si>
    <t>Informations système comptable</t>
  </si>
  <si>
    <t>Absorption ou fusion avec une autre structure</t>
  </si>
  <si>
    <t>Fréquence des difficultés de trésorerie</t>
  </si>
  <si>
    <t>Fonctionnement</t>
  </si>
  <si>
    <t>Cet autodiagnostic est à remplir par le dirigeant de la structure, qui devra se munir de ses trois derniers bilans et comptes de résultat détaillés, du budget prévisionnel de l'année en cours, de sa DADS et de tout tableau de bord et/ou de gestion du personnel et des clients.</t>
  </si>
  <si>
    <t>Financement lié à des besoins de trésorerie</t>
  </si>
  <si>
    <t>Autre accompagnement</t>
  </si>
  <si>
    <t>Gestion analytique des activités</t>
  </si>
  <si>
    <t>Modulation annuelle du temps de travail</t>
  </si>
  <si>
    <t>Dernier exercice comptable clôturé</t>
  </si>
  <si>
    <t>Appréciation sur la stabilité de la gouvernance</t>
  </si>
  <si>
    <t>Relations bancaires</t>
  </si>
  <si>
    <t>Démarche qualité</t>
  </si>
  <si>
    <t>Vérification</t>
  </si>
  <si>
    <t>Contributions volontaires en nature</t>
  </si>
  <si>
    <t>Résultat Net</t>
  </si>
  <si>
    <t>Indicateurs économiques</t>
  </si>
  <si>
    <t>Indicateurs financiers</t>
  </si>
  <si>
    <t>Fonds Propres</t>
  </si>
  <si>
    <t>Fond de Roulement</t>
  </si>
  <si>
    <t>Besoin en Fond de Roulement</t>
  </si>
  <si>
    <t>Trésorerie Nette</t>
  </si>
  <si>
    <t>Dettes CT</t>
  </si>
  <si>
    <t>Immobilisations</t>
  </si>
  <si>
    <t>Stocks et créances</t>
  </si>
  <si>
    <t>Disponibilités</t>
  </si>
  <si>
    <t>Dettes MLT</t>
  </si>
  <si>
    <t>Structure Bilan</t>
  </si>
  <si>
    <t>Evolution du cycle d'exploitation</t>
  </si>
  <si>
    <t>Alerte(s) financière(s)</t>
  </si>
  <si>
    <t>Masse salariale</t>
  </si>
  <si>
    <t>Frais de structure</t>
  </si>
  <si>
    <t>Charges variables</t>
  </si>
  <si>
    <t>Autres charges</t>
  </si>
  <si>
    <t>Subventions, Aides à l'emploi</t>
  </si>
  <si>
    <t>Autres produits</t>
  </si>
  <si>
    <t>Evolution de la composition des charges et produits</t>
  </si>
  <si>
    <t>Alerte(s) économique(s)</t>
  </si>
  <si>
    <t>10 - Aube</t>
  </si>
  <si>
    <t>11 - Aude</t>
  </si>
  <si>
    <t>12 - Aveyron</t>
  </si>
  <si>
    <t>13 - Bouche du Rhône</t>
  </si>
  <si>
    <t>14 - Calvados</t>
  </si>
  <si>
    <t>15 - Cantal</t>
  </si>
  <si>
    <t>16 - Charente</t>
  </si>
  <si>
    <t>17 - Charente Maritime</t>
  </si>
  <si>
    <t>18 - Cher</t>
  </si>
  <si>
    <t>19 - Corrèze</t>
  </si>
  <si>
    <t>2A - Corse du Sud</t>
  </si>
  <si>
    <t>2B - Haute Corse</t>
  </si>
  <si>
    <t>21 - Côte d'Or</t>
  </si>
  <si>
    <t>22 - Côtes d'Armor</t>
  </si>
  <si>
    <t>23 - Creuse</t>
  </si>
  <si>
    <t>24 - Dordogne</t>
  </si>
  <si>
    <t>25 - Doubs</t>
  </si>
  <si>
    <t>26 - Drôme</t>
  </si>
  <si>
    <t>27 - Eure</t>
  </si>
  <si>
    <t>28 - Eure et Loire</t>
  </si>
  <si>
    <t>Services à la personne - Prestations de confort</t>
  </si>
  <si>
    <t>Observations / Précisions</t>
  </si>
  <si>
    <t>Accompagnement en gestion des Ressources humaines</t>
  </si>
  <si>
    <t>Financement lié à une insuffisance / absence de fonds propres</t>
  </si>
  <si>
    <t>Total Actif immobilisé</t>
  </si>
  <si>
    <t>48 - Lozère</t>
  </si>
  <si>
    <t>49 - Maine et Loire</t>
  </si>
  <si>
    <t>50 - Manche</t>
  </si>
  <si>
    <t>51 - Marne</t>
  </si>
  <si>
    <t>52 - Haute Marne</t>
  </si>
  <si>
    <t>53 - Mayenne</t>
  </si>
  <si>
    <t>54 - Meurthe et Moselle</t>
  </si>
  <si>
    <t>55 - Meuse</t>
  </si>
  <si>
    <t>56 - Morbihan</t>
  </si>
  <si>
    <t>57 - Moselle</t>
  </si>
  <si>
    <t>58 - Nièvre</t>
  </si>
  <si>
    <t>59 - Nord</t>
  </si>
  <si>
    <t>60 - Oise</t>
  </si>
  <si>
    <t>61 - Orne</t>
  </si>
  <si>
    <t>62 - Pas de Calais</t>
  </si>
  <si>
    <t>63 - Puy de Dôme</t>
  </si>
  <si>
    <t>64 - Pyrénées Atlantiques</t>
  </si>
  <si>
    <t>65 - Hautes Pyrénées</t>
  </si>
  <si>
    <t>66 - Pyrénées Orientales</t>
  </si>
  <si>
    <t>67 - Bas Rhin</t>
  </si>
  <si>
    <t>68 - Haut-Rhin</t>
  </si>
  <si>
    <t>69 - Rhône</t>
  </si>
  <si>
    <t>70 - Haute Saône</t>
  </si>
  <si>
    <t>71 - Saône et Loire</t>
  </si>
  <si>
    <t>72 - Sarthe</t>
  </si>
  <si>
    <t>73 - Savoie</t>
  </si>
  <si>
    <t>74 - Haute Savoie</t>
  </si>
  <si>
    <t>75 - Paris</t>
  </si>
  <si>
    <t>76 - Seine Maritime</t>
  </si>
  <si>
    <t>77 - Seine et Marne</t>
  </si>
  <si>
    <t>78 - Yvelines</t>
  </si>
  <si>
    <t>79 - Deux Sèvres</t>
  </si>
  <si>
    <t>80 - Somme</t>
  </si>
  <si>
    <t>81 - Tarn</t>
  </si>
  <si>
    <t>82 - Tarn et Garonne</t>
  </si>
  <si>
    <t>83 - Var</t>
  </si>
  <si>
    <t>84 - Vaucluse</t>
  </si>
  <si>
    <t>85 - Vendée</t>
  </si>
  <si>
    <t>86 - Vienne</t>
  </si>
  <si>
    <t>87 - Haute Vienne</t>
  </si>
  <si>
    <t>88 - Vosges</t>
  </si>
  <si>
    <t>89 - Yonne</t>
  </si>
  <si>
    <t>90 - Territoire de Belfort</t>
  </si>
  <si>
    <t>91 - Essonnes</t>
  </si>
  <si>
    <t>92 - Haut de Seine</t>
  </si>
  <si>
    <t>93 - Seine Saint Denis</t>
  </si>
  <si>
    <t>94 - Val de Marne</t>
  </si>
  <si>
    <t>95 - Val D'Oise</t>
  </si>
  <si>
    <t>971 - Guadeloupe</t>
  </si>
  <si>
    <t>972 - Martinique</t>
  </si>
  <si>
    <t>973 - Guyane</t>
  </si>
  <si>
    <t>974 - La Réunion</t>
  </si>
  <si>
    <t>Forme juridique</t>
  </si>
  <si>
    <t>Nom de la structure</t>
  </si>
  <si>
    <t>Année de création</t>
  </si>
  <si>
    <t>Département</t>
  </si>
  <si>
    <t>Ville</t>
  </si>
  <si>
    <t>Adhérent réseau</t>
  </si>
  <si>
    <t>30 - Gard</t>
  </si>
  <si>
    <t>31 - Haute Garonne</t>
  </si>
  <si>
    <t>32 - Gers</t>
  </si>
  <si>
    <t>33 - Gironde</t>
  </si>
  <si>
    <t>34 - Hérault</t>
  </si>
  <si>
    <t>35 - Ile et Vilaine</t>
  </si>
  <si>
    <t>36 - Indre</t>
  </si>
  <si>
    <t>37 - Indre et Loire</t>
  </si>
  <si>
    <t>38 - Isère</t>
  </si>
  <si>
    <t>39 - Jura</t>
  </si>
  <si>
    <t>40 - Landes</t>
  </si>
  <si>
    <t>41 - Loire et Cher</t>
  </si>
  <si>
    <t>42 - Loire</t>
  </si>
  <si>
    <t>43 - Haute-Loire</t>
  </si>
  <si>
    <t>44 - Loire Atlantique</t>
  </si>
  <si>
    <t>45 - Loiret</t>
  </si>
  <si>
    <t>46 - Lot</t>
  </si>
  <si>
    <t>47 - Lot et Garonne</t>
  </si>
  <si>
    <t>Dettes &gt; à un an</t>
    <phoneticPr fontId="50" type="noConversion"/>
  </si>
  <si>
    <t>Vérification Trésorerie</t>
    <phoneticPr fontId="50" type="noConversion"/>
  </si>
  <si>
    <t>Utilisation d'un tableau de suivi de la trésorerie</t>
  </si>
  <si>
    <t>Utilisation de tableaux de bord pour suivre l'évolution de l'activité</t>
  </si>
  <si>
    <t>Difficultés de recrutement</t>
  </si>
  <si>
    <t xml:space="preserve">Financement lié à des besoins d'investissement </t>
  </si>
  <si>
    <t>Accompagnement en gestion financière</t>
  </si>
  <si>
    <t>Accompagnement en stratégie commerciale</t>
  </si>
  <si>
    <t>Objectif de l'outil</t>
  </si>
  <si>
    <t>Produits exceptionnels</t>
  </si>
  <si>
    <t>Charges financières</t>
  </si>
  <si>
    <t>Produits financiers</t>
  </si>
  <si>
    <t>Charges exceptionnelles</t>
  </si>
  <si>
    <t>Résultat d'exploitation</t>
  </si>
  <si>
    <t xml:space="preserve">ACTIF </t>
  </si>
  <si>
    <t xml:space="preserve">PASSIF </t>
  </si>
  <si>
    <t>Stocks et encours</t>
  </si>
  <si>
    <t>Disponibilités et VMP (1)</t>
  </si>
  <si>
    <t>Total Actif circulant</t>
  </si>
  <si>
    <t>Total Dettes et provisions</t>
  </si>
  <si>
    <t>Total Actif</t>
  </si>
  <si>
    <t>Total Passif</t>
  </si>
  <si>
    <t>Créances</t>
  </si>
  <si>
    <t>Transfert de charges et reprises sur provisions</t>
  </si>
  <si>
    <t>Adhésions</t>
  </si>
  <si>
    <t>Autres produits d'exploitation</t>
  </si>
  <si>
    <t>Autres achats et charges externes</t>
  </si>
  <si>
    <t>Impôts et taxes</t>
  </si>
  <si>
    <t xml:space="preserve">Salaires </t>
  </si>
  <si>
    <t>Charges sociales</t>
  </si>
  <si>
    <t>Dotations aux amortissements</t>
  </si>
  <si>
    <t>Autres charges d'exploitation</t>
  </si>
  <si>
    <t>Total Charges d’exploitation</t>
  </si>
  <si>
    <t>Immobilisations brutes</t>
  </si>
  <si>
    <t>Mode d'emploi</t>
  </si>
  <si>
    <t>Dettes &lt; à un an (2)</t>
  </si>
  <si>
    <t>Achats et charges variables</t>
  </si>
  <si>
    <t>Seuil de rentabilité</t>
  </si>
  <si>
    <t>Nombre d'heures facturées</t>
  </si>
  <si>
    <t>01 - Ain</t>
  </si>
  <si>
    <t>02 - Aisne</t>
  </si>
  <si>
    <t>03 - Allier</t>
  </si>
  <si>
    <t>04 - Alpes de Haute Provence</t>
  </si>
  <si>
    <t>05 - Hautes Alpes</t>
  </si>
  <si>
    <t>06 - Alpes Maritimes</t>
  </si>
  <si>
    <t>07 - Ardèche</t>
  </si>
  <si>
    <t>08 - Ardennes</t>
  </si>
  <si>
    <t>09 - Ariège</t>
  </si>
  <si>
    <t>Services d'aide à domicile 
PA/PH - Prestataire</t>
  </si>
  <si>
    <t xml:space="preserve">Services d'aide à domicile 
Familles - Prestataire </t>
  </si>
  <si>
    <t>Services d'aide à domicile - PA/PH - Prestataire</t>
  </si>
  <si>
    <t>Services d'aide à domicile - Familles - Prestataire</t>
  </si>
  <si>
    <t>Services à la personne -
Prestations de confort</t>
  </si>
  <si>
    <t>SAD - Mandataire</t>
  </si>
  <si>
    <t>Ecarts prévisions</t>
  </si>
  <si>
    <t xml:space="preserve">Variations attendues    </t>
  </si>
  <si>
    <t>Comptes de résultats prévisionnels</t>
  </si>
  <si>
    <t>CA prév.</t>
  </si>
  <si>
    <t xml:space="preserve">   dont aide Fonds de Restructuration</t>
  </si>
  <si>
    <t>Taux d'évolution</t>
  </si>
  <si>
    <t>Volume heures</t>
  </si>
  <si>
    <t>Budgets Prévisionnels / activité</t>
  </si>
  <si>
    <t>Mutuelles</t>
  </si>
  <si>
    <t>Seuils de vigilance</t>
  </si>
  <si>
    <t>Commentaires</t>
  </si>
  <si>
    <t>Administratifs</t>
  </si>
  <si>
    <t>SAD- PA/PH - Prestataire</t>
  </si>
  <si>
    <t>SAD - Familles - Prestataire</t>
  </si>
  <si>
    <t>SAP - Prestations de confort</t>
  </si>
  <si>
    <t>Evolution des effectifs ETP par type d'activité</t>
  </si>
  <si>
    <t>Extrapolat° 12 mois</t>
  </si>
  <si>
    <t>Balance interm.</t>
  </si>
  <si>
    <t>Evolution &amp; analyse des effectifs passés et prévus</t>
  </si>
  <si>
    <t xml:space="preserve">Conseil Général APA </t>
  </si>
  <si>
    <t>Conseil Général PCH</t>
  </si>
  <si>
    <t>Conseil Général ASE TISF</t>
  </si>
  <si>
    <t>Conseil Général AVS et autres</t>
  </si>
  <si>
    <t>CAF TISF</t>
  </si>
  <si>
    <t>CAF AVS et autres</t>
  </si>
  <si>
    <t xml:space="preserve"> Mutuelles</t>
  </si>
  <si>
    <t>….</t>
  </si>
  <si>
    <t>Plan d'action</t>
  </si>
  <si>
    <t>Chriffre d'affaires prévisionnel</t>
  </si>
  <si>
    <t>Analyse par activité passée et prévisionnelle</t>
  </si>
  <si>
    <t>Analyse des comptes passés et prévisionnels</t>
  </si>
  <si>
    <t>Masse salariale adm.&amp;encadrants</t>
  </si>
  <si>
    <t>Détail de l'investissement</t>
  </si>
  <si>
    <t>Dotation estimée</t>
  </si>
  <si>
    <t>Durée d'utilisation</t>
  </si>
  <si>
    <t>Immobilisations incorporelles</t>
  </si>
  <si>
    <t>Logiciel CIEL Compta</t>
  </si>
  <si>
    <t>Logiciel CIEL Paie</t>
  </si>
  <si>
    <t>…</t>
  </si>
  <si>
    <t>Immobilisations corporelles</t>
  </si>
  <si>
    <t>Véhicule Renault Express</t>
  </si>
  <si>
    <t>Véhicule Renault Express 2</t>
  </si>
  <si>
    <t>Machines</t>
  </si>
  <si>
    <t>Bureautique</t>
  </si>
  <si>
    <t>Mobilier</t>
  </si>
  <si>
    <t>Immobilisations financières</t>
  </si>
  <si>
    <t>Dépôt de garantie</t>
  </si>
  <si>
    <t>Prêt</t>
  </si>
  <si>
    <t>lpl</t>
  </si>
  <si>
    <t>ù</t>
  </si>
  <si>
    <t>Total Investissement</t>
  </si>
  <si>
    <t>Si assujetti, montant TVA :</t>
  </si>
  <si>
    <t>Programme d'investissement</t>
  </si>
  <si>
    <t>Montant</t>
  </si>
  <si>
    <t>Régime fiscal</t>
  </si>
  <si>
    <t>Dotations aux amortissements à venir</t>
  </si>
  <si>
    <t>Détail des prêts</t>
  </si>
  <si>
    <t>P1</t>
  </si>
  <si>
    <t>P2</t>
  </si>
  <si>
    <t>P3</t>
  </si>
  <si>
    <t>Investissements</t>
  </si>
  <si>
    <t>Année de déblocage</t>
  </si>
  <si>
    <t>TVA sur investissements</t>
  </si>
  <si>
    <t>Nbre d'échéances la 1ère année</t>
  </si>
  <si>
    <t>Remboursement dette MLT</t>
  </si>
  <si>
    <t>Variation du BFR</t>
  </si>
  <si>
    <t>Taux</t>
  </si>
  <si>
    <t>TOTAL EMPLOIS</t>
  </si>
  <si>
    <t>Nombre de remboursements par an</t>
  </si>
  <si>
    <t>Durée totale (en mois)</t>
  </si>
  <si>
    <t>Subventions d’investissement</t>
  </si>
  <si>
    <t>Différé (en mois)</t>
  </si>
  <si>
    <t>Apports en fonds propres sans droit de reprise</t>
  </si>
  <si>
    <t>Apports en fonds propres avec droit de reprise</t>
  </si>
  <si>
    <t>Emprunts bancaires et assimilés</t>
  </si>
  <si>
    <t>Capital remboursé 1ère année</t>
  </si>
  <si>
    <t>Autres emprunts</t>
  </si>
  <si>
    <t>Capital remboursé 2ème année</t>
  </si>
  <si>
    <t>Capacité d’autofinancement</t>
  </si>
  <si>
    <t>Capital remboursé 3ème année</t>
  </si>
  <si>
    <t>TOTAL RESSOURCES</t>
  </si>
  <si>
    <t>Année</t>
  </si>
  <si>
    <t>SOLDE</t>
  </si>
  <si>
    <t>Prêts antérieurs</t>
  </si>
  <si>
    <t>CUMUL</t>
  </si>
  <si>
    <t>Trésorerie nette au 31/12/n-1</t>
  </si>
  <si>
    <t>Calcul du BFR - Valeurs prévisionnelles</t>
  </si>
  <si>
    <t>Totaux</t>
  </si>
  <si>
    <t>Stocks et encours HT</t>
  </si>
  <si>
    <t>Autres créances</t>
  </si>
  <si>
    <t>Charges constatées d'avance</t>
  </si>
  <si>
    <t>Besoins d'exploitation</t>
  </si>
  <si>
    <t>Dettes fournisseurs</t>
  </si>
  <si>
    <t>dettes sur salaires</t>
  </si>
  <si>
    <t>dettes sur charges sociales</t>
  </si>
  <si>
    <t>dettes sur TVA</t>
  </si>
  <si>
    <t>dettes sur impôts &amp; taxes</t>
  </si>
  <si>
    <t>Total dettes fiscales et sociales</t>
  </si>
  <si>
    <t>Autres dettes</t>
  </si>
  <si>
    <t>Produits constatés d'avance</t>
  </si>
  <si>
    <t>Ressources d'exploitation</t>
  </si>
  <si>
    <t>BFR n</t>
  </si>
  <si>
    <t>BFR n-1</t>
  </si>
  <si>
    <t>Variation BFR</t>
  </si>
  <si>
    <t>Plan de financement</t>
  </si>
  <si>
    <t>Total Capacité d’autofinancement</t>
  </si>
  <si>
    <t>Calculs intermédiaires</t>
  </si>
  <si>
    <t>Eléments except. impactant la CAF</t>
  </si>
  <si>
    <t>CAF hors éléments except.</t>
  </si>
  <si>
    <t>Délais de paiement et règlement</t>
  </si>
  <si>
    <t>Dettes sociales et fiscales</t>
  </si>
  <si>
    <t>Dettes</t>
  </si>
  <si>
    <t>Créances TTC</t>
  </si>
  <si>
    <t>P4</t>
  </si>
  <si>
    <t>Tx de couverture des dettes CT</t>
  </si>
  <si>
    <t>CA</t>
  </si>
  <si>
    <t>Nombre de km parcourus en</t>
  </si>
  <si>
    <t>Territoire</t>
  </si>
  <si>
    <t>Evaluation</t>
  </si>
  <si>
    <t>RAS</t>
  </si>
  <si>
    <t>Cadre contractuel des services</t>
  </si>
  <si>
    <t>Clé de répartition automatique / effectifs en ETP</t>
  </si>
  <si>
    <t>Transfert de charges et reprises/provis°</t>
  </si>
  <si>
    <t xml:space="preserve">   dont reprise de résultat ss contrôle de 1/3</t>
  </si>
  <si>
    <t>Facturation 1/3 payeurs (CG, CAF...)</t>
  </si>
  <si>
    <t>Provis° &amp; Résultats ss contrôle de 1/3</t>
  </si>
  <si>
    <t>Evolution charges</t>
  </si>
  <si>
    <t>Evolution produits</t>
  </si>
  <si>
    <t xml:space="preserve">   dont répartition automatique</t>
  </si>
  <si>
    <t xml:space="preserve">   dont variations</t>
  </si>
  <si>
    <t>Interv. à domicile</t>
  </si>
  <si>
    <t>Encad. directs</t>
  </si>
  <si>
    <t>Répartit° des effectifs</t>
  </si>
  <si>
    <r>
      <t xml:space="preserve">Tarif Horaire </t>
    </r>
    <r>
      <rPr>
        <sz val="9"/>
        <rFont val="Arial"/>
        <family val="2"/>
      </rPr>
      <t>(ou tarif moyen)</t>
    </r>
  </si>
  <si>
    <r>
      <t>Tarif Horaire</t>
    </r>
    <r>
      <rPr>
        <sz val="9"/>
        <rFont val="Arial"/>
        <family val="2"/>
      </rPr>
      <t xml:space="preserve"> (ou tarif moyen)</t>
    </r>
  </si>
  <si>
    <t>Couverture des charges courantes</t>
  </si>
  <si>
    <t xml:space="preserve">   dont reprise de résultat sous contrôle de 1/3</t>
  </si>
  <si>
    <t>Date d'achat, mise en service</t>
  </si>
  <si>
    <t>Chiffre d'affaire</t>
  </si>
  <si>
    <t>Financement du fonctionnement</t>
  </si>
  <si>
    <t>Analyse financière</t>
  </si>
  <si>
    <t>Analyse économique</t>
  </si>
  <si>
    <t>Evolution de la composition des charges et produits - années passées &amp; prévisionnelles</t>
  </si>
  <si>
    <t>Si la structure est fiscalisée, taux de TVA :</t>
  </si>
  <si>
    <t>Dotations aux amortissements réalisés</t>
  </si>
  <si>
    <t>Total Produits</t>
  </si>
  <si>
    <t>Total Charges</t>
  </si>
  <si>
    <t>Total ETP</t>
  </si>
  <si>
    <r>
      <rPr>
        <sz val="9"/>
        <color indexed="8"/>
        <rFont val="Arial"/>
        <family val="2"/>
      </rPr>
      <t>Catégorie</t>
    </r>
    <r>
      <rPr>
        <sz val="10"/>
        <color indexed="8"/>
        <rFont val="Arial"/>
        <family val="2"/>
      </rPr>
      <t xml:space="preserve"> A</t>
    </r>
  </si>
  <si>
    <t>B</t>
  </si>
  <si>
    <t>C</t>
  </si>
  <si>
    <r>
      <t xml:space="preserve">F à </t>
    </r>
    <r>
      <rPr>
        <sz val="10"/>
        <color indexed="8"/>
        <rFont val="Calibri"/>
        <family val="2"/>
      </rPr>
      <t>İ</t>
    </r>
  </si>
  <si>
    <t>Vérif.</t>
  </si>
  <si>
    <t xml:space="preserve">   répartition automatique</t>
  </si>
  <si>
    <t xml:space="preserve">   variations</t>
  </si>
  <si>
    <t>Investissement à réaliser</t>
  </si>
  <si>
    <t>Facturation 1/3 payeurs (CG, CARSAT, CAF...)</t>
  </si>
  <si>
    <t>&gt;&gt; la saisie d'informations sur la structure : données administratives et d'ordre général permettant de décrire sa situation actuelle.</t>
  </si>
  <si>
    <t>&gt;&gt; un diagnostic de la situation avec des calculs de ratios d'analyse et des graphiques permettant de représenter les résultats.</t>
  </si>
  <si>
    <t>h. fact. SAD PA/PH</t>
  </si>
  <si>
    <t xml:space="preserve">h. rém. SAD PA/PH </t>
  </si>
  <si>
    <t>h. fact. SAD Famille</t>
  </si>
  <si>
    <t>h. fact. SAD mandataire</t>
  </si>
  <si>
    <t>h. rém. SAD mandataire</t>
  </si>
  <si>
    <t>h. fact. SAP prest. confort</t>
  </si>
  <si>
    <t>h. rém. SAP prest. confort</t>
  </si>
  <si>
    <t>h. rém. SAD famille</t>
  </si>
  <si>
    <t>Onglet "synthèse par activités", tableau "comparaison heures facturées - heures rémunérées"</t>
  </si>
  <si>
    <t>Code de présentation pour la saisie des données :</t>
  </si>
  <si>
    <t xml:space="preserve">   dont autres</t>
  </si>
  <si>
    <t>CARSAT, caisses de retraite</t>
  </si>
  <si>
    <t xml:space="preserve">   dont CARSAT et caisses de retraite</t>
  </si>
  <si>
    <t>D</t>
  </si>
  <si>
    <t>E</t>
  </si>
  <si>
    <t>Effectif en ETP</t>
  </si>
  <si>
    <t>Budget Prév. actualisé</t>
  </si>
  <si>
    <t>Budget Prév.  initial</t>
  </si>
  <si>
    <t>*Hors activités "Mandataire" et "Soins à domicile"</t>
  </si>
  <si>
    <r>
      <t>Taux d'encadrement global</t>
    </r>
    <r>
      <rPr>
        <sz val="12"/>
        <color theme="8" tint="-0.249977111117893"/>
        <rFont val="Arial"/>
        <family val="2"/>
      </rPr>
      <t>*</t>
    </r>
  </si>
  <si>
    <t>La saisie est facultative dans les cellules de couleur plus claire.</t>
  </si>
  <si>
    <t>&gt;&gt; la saisie de données chiffrées sur les comptes passés et les budgets prévisionnels.</t>
  </si>
  <si>
    <t>Sommaire</t>
  </si>
  <si>
    <t>Les cellules vides dans les tableaux font l'objet de calculs automatiques (pas de saisi possible).</t>
  </si>
  <si>
    <t>Motif indiquant les plages qui ne sont pas à renseigner (ni saisi possible, ni formule).</t>
  </si>
  <si>
    <t>2.Données qualitatives</t>
  </si>
  <si>
    <t>5.Analyse des effectifs</t>
  </si>
  <si>
    <t>6.Détails activités passés</t>
  </si>
  <si>
    <t>7.Budgets prévisionnels</t>
  </si>
  <si>
    <t>8.Détails activités prév.</t>
  </si>
  <si>
    <t>9.Plan d'investissement</t>
  </si>
  <si>
    <t>11.Synthèse par activité</t>
  </si>
  <si>
    <t>12.Plan de financement</t>
  </si>
  <si>
    <t>Cette partie est réservée à un accompagnateur expert financier du réseau France Active (www.franceactive.org)</t>
  </si>
  <si>
    <t>Amortissements</t>
  </si>
  <si>
    <t>Soins à domicile - SSIAD</t>
  </si>
  <si>
    <t>Soins à domicile - CSI</t>
  </si>
  <si>
    <t>Calcul des sommes pour vérification</t>
  </si>
  <si>
    <t>Soins à domicile SSIAD</t>
  </si>
  <si>
    <t>Soins à domicile CSI</t>
  </si>
  <si>
    <t>* Masse salariale : personnel d'encadrement et administratif
Frais de structures : achats et charges externes + impôts et taxes + dotation aux am. + autres charges d'exploitation
Charges variables : achats et charges variables + masse salariale des intervenants à domicile
Autres charges : charges hors exploitation (financières, exceptionnelles,...)</t>
  </si>
  <si>
    <t>Evolution de la composition des charges et produits d'exploitation</t>
  </si>
  <si>
    <t>* Masse salariale : personnel d'encadrement et administratif
Frais de structures : achats et charges externes + impôts et taxes + autres charges d'exploitation
Charges variables : achats et charges variables + masse salariale des intervenants à domicile</t>
  </si>
  <si>
    <t>Autres produits expl.</t>
  </si>
  <si>
    <t>Subv., aides à l'emploi</t>
  </si>
  <si>
    <t>Participat° des usagers</t>
  </si>
  <si>
    <t>Fact. 1/3 payeurs</t>
  </si>
  <si>
    <t>Evolution charges*</t>
  </si>
  <si>
    <t>Total heures rémunérées intervenants directs</t>
  </si>
  <si>
    <t>Part des activités dans la composition du CA / année</t>
  </si>
  <si>
    <t>Onglet synthèse éco&amp;situation financière</t>
  </si>
  <si>
    <t>Onglet analyse des effectifs</t>
  </si>
  <si>
    <t>Les tableaux de calculs se trouvent dans ce même onglet derrière les graphiques</t>
  </si>
  <si>
    <t>Onglet "synthèse par activités"</t>
  </si>
  <si>
    <t>Part des activités dans la composition du Chiffre d'Affaire</t>
  </si>
  <si>
    <t>Masse salariale : personnel d'encadrement et administratif
Frais de structures : achats et charges externes + impôts et taxes + autres charges d'exploitation
Charges variables : achats et charges variables + masse salariale des intervenants à domicile</t>
  </si>
  <si>
    <t>* Autre produits : transfert de charges et reprises/provis° + adhésions + autre produits d'exploitation + autre produits hors exploitation (financiers, exceptionnels, …)</t>
  </si>
  <si>
    <t>29 - Finistère</t>
  </si>
  <si>
    <t>Volume horaire</t>
  </si>
  <si>
    <t>Association</t>
  </si>
  <si>
    <t>1-</t>
  </si>
  <si>
    <t>2-</t>
  </si>
  <si>
    <t>3-</t>
  </si>
  <si>
    <t>4-</t>
  </si>
  <si>
    <t>5-</t>
  </si>
  <si>
    <t>6-</t>
  </si>
  <si>
    <t>7-</t>
  </si>
  <si>
    <t>8-</t>
  </si>
  <si>
    <t>Nbre de mois couverts par la balance intermédiaire</t>
  </si>
  <si>
    <t>Part dans l'activité</t>
  </si>
  <si>
    <t>dont nbre de salariés en moins pour raisons éco. par rapport à</t>
  </si>
  <si>
    <t>Alerte du CAC lors de la dernière clôture comptable</t>
  </si>
  <si>
    <t>Télégestion (traitement de la modulation du temps de travail)</t>
  </si>
  <si>
    <t>Appréciation du soutien des partenaires publics</t>
  </si>
  <si>
    <t>Evaluation de la concurrence sur le territoire</t>
  </si>
  <si>
    <t>Nbre de salariés</t>
  </si>
  <si>
    <t>Taux de personnel catégorie A</t>
  </si>
  <si>
    <t>Taux de personnel catégorie B</t>
  </si>
  <si>
    <t>Taux de personnel catégorie C</t>
  </si>
  <si>
    <t>Taux de personnel catégorie D</t>
  </si>
  <si>
    <t>Taux de personnel catégorie E</t>
  </si>
  <si>
    <t>Taux de personnel catégorie F à İ</t>
  </si>
  <si>
    <r>
      <t xml:space="preserve">Pour calculer automatiquement le compte "Facturation 1/3 payeur" il faut avoir renseigner au préalable le </t>
    </r>
    <r>
      <rPr>
        <b/>
        <sz val="10"/>
        <color rgb="FF0066FF"/>
        <rFont val="Arial"/>
        <family val="2"/>
      </rPr>
      <t>tableau en-dessous "Chiffre d'affaire prévisionnel".</t>
    </r>
  </si>
  <si>
    <r>
      <t>A renseigner en % d'évolution (tableau de droite).</t>
    </r>
    <r>
      <rPr>
        <b/>
        <sz val="10"/>
        <color rgb="FF0066FF"/>
        <rFont val="Arial"/>
        <family val="2"/>
      </rPr>
      <t xml:space="preserve"> </t>
    </r>
    <r>
      <rPr>
        <sz val="10"/>
        <color rgb="FF0066FF"/>
        <rFont val="Arial"/>
        <family val="2"/>
      </rPr>
      <t>Il est possible de saisir directement les prévisionnels sans passer par les taux d'évolutions, mais: cela "écrasera" les formules automatiques du budget prévisionnel &amp; nécessitera d'insérer les formules pour avoir les taux d'évolutions : (N+1-N)/N.
Des cases font l'objet de calculs automatiques à partir de données issues d'onglets qui suivent : "facturation 1/3 payeur" qui reprend le chiffre d'affaire indiqué dans l'onglet "détails des activités prévisionnelles" &amp; "Dotation aux amortissement à venir" qui se reporte à l'onglet "Plan d'investissement". Il faut donc avoir renseigné au préalable ces tableaux avant de finaliser les budgets prévisionnels.</t>
    </r>
  </si>
  <si>
    <r>
      <rPr>
        <b/>
        <sz val="10"/>
        <color rgb="FF0066FF"/>
        <rFont val="Arial"/>
        <family val="2"/>
      </rPr>
      <t>A renseigner en % d'évolution</t>
    </r>
    <r>
      <rPr>
        <sz val="10"/>
        <color rgb="FF0066FF"/>
        <rFont val="Arial"/>
        <family val="2"/>
      </rPr>
      <t xml:space="preserve"> (tableau de droite). Il est possible de saisir directement les prévisionnels sans passer par les taux d'évolutions, mais cela "écrasera" les formules automatiques des colonnes "tarif horaire" et "volume heures" &amp; nécessitera d'insérer les formules pour avoir les taux d'évolutions : (N+1-N)/N</t>
    </r>
  </si>
  <si>
    <t>Cadre d'utilisation de l'outil</t>
  </si>
  <si>
    <t>2.</t>
  </si>
  <si>
    <t>5.</t>
  </si>
  <si>
    <t>6.</t>
  </si>
  <si>
    <t>7.</t>
  </si>
  <si>
    <t>8.</t>
  </si>
  <si>
    <t>9.</t>
  </si>
  <si>
    <t>11.</t>
  </si>
  <si>
    <t>12.</t>
  </si>
  <si>
    <t>x</t>
  </si>
  <si>
    <t>Onglets à masquer</t>
  </si>
  <si>
    <t>Feuille de choix de version</t>
  </si>
  <si>
    <t>Général</t>
  </si>
  <si>
    <t>Simplifiée</t>
  </si>
  <si>
    <t>Complète</t>
  </si>
  <si>
    <t>Toutes</t>
  </si>
  <si>
    <t>Choix version</t>
  </si>
  <si>
    <t>Technique</t>
  </si>
  <si>
    <t>Sources schémas</t>
  </si>
  <si>
    <t>Liste déroulante</t>
  </si>
  <si>
    <t>Présentation de l'outil</t>
  </si>
  <si>
    <t>Années</t>
  </si>
  <si>
    <t>Non</t>
  </si>
  <si>
    <t>Restructuration</t>
  </si>
  <si>
    <t>Fusion</t>
  </si>
  <si>
    <t>Créé le 5 décembre 2012 pour FRANCE ACTIVE</t>
  </si>
  <si>
    <t>par Archétypes Synergies</t>
  </si>
  <si>
    <t>www.archetypes.fr</t>
  </si>
  <si>
    <t>Utilisation réservée à FRANCE ACTIVE</t>
  </si>
  <si>
    <t>La saisie s'effectue dans les cellules beiges.</t>
  </si>
  <si>
    <r>
      <rPr>
        <sz val="11"/>
        <color rgb="FF0066FF"/>
        <rFont val="Arial"/>
        <family val="2"/>
      </rPr>
      <t>Vous utilisez l'outil dans le cadre d'</t>
    </r>
    <r>
      <rPr>
        <b/>
        <sz val="11"/>
        <color rgb="FF0066FF"/>
        <rFont val="Arial"/>
        <family val="2"/>
      </rPr>
      <t>une démarche d'accompagnement approfondi</t>
    </r>
  </si>
  <si>
    <t>Données qualitatives</t>
  </si>
  <si>
    <t>Comptes passés &amp; en cours</t>
  </si>
  <si>
    <t>Répartition effectifs</t>
  </si>
  <si>
    <t>Analyse des effectifs</t>
  </si>
  <si>
    <t>Détails activités passés</t>
  </si>
  <si>
    <t>Budgets prévisionnels</t>
  </si>
  <si>
    <t>Détails activités prév.</t>
  </si>
  <si>
    <t>Plan d'investissement</t>
  </si>
  <si>
    <t>Synthèse éco&amp;fi</t>
  </si>
  <si>
    <t>Synthèse par activité</t>
  </si>
  <si>
    <t>Présentation structure</t>
  </si>
  <si>
    <t>D.10.Synthèse éco&amp;fi.</t>
  </si>
  <si>
    <t>D.10.Synthèse éco&amp;fi</t>
  </si>
  <si>
    <t>L’outil vise à donner une première lecture synthétique de la situation économique et financière d’une structure d’aide à domicile, de mesurer le degré réel et l’origine de ses difficultés et de formaliser les actions correctives à mettre en œuvre.</t>
  </si>
  <si>
    <r>
      <t>&gt;&gt;&gt;&gt;&gt; Au préalable</t>
    </r>
    <r>
      <rPr>
        <sz val="11"/>
        <color rgb="FF0066FF"/>
        <rFont val="Arial"/>
        <family val="2"/>
      </rPr>
      <t>, veuillez cocher la case correspondante :</t>
    </r>
  </si>
  <si>
    <t>Cet onglet propose de qualifier des items avec un indice d'évaluation qui se base sur l'appréciation subjective de la structure accompagnée à l'utilisation de l'outil. Cette démarche doit  permettre de dresser un bilan qualitatif rapide de sa situation visant à améliorer l'interprétation du diagnostic  économique et financier.</t>
  </si>
  <si>
    <r>
      <rPr>
        <b/>
        <sz val="9"/>
        <color indexed="8"/>
        <rFont val="Arial"/>
        <family val="2"/>
      </rPr>
      <t>Attention ! Afin que les formules et macros fonctionnent correctement, il peut être nécessaire d'effectuer les procédures suivantes :</t>
    </r>
    <r>
      <rPr>
        <sz val="9"/>
        <color indexed="8"/>
        <rFont val="Arial"/>
        <family val="2"/>
      </rPr>
      <t xml:space="preserve">
 =&gt; laissez les macros s'exécuter  : dans le menu Outils, Options, Sécurité, régler le niveau de sécurité sur Moyen 
 =&gt; Pour Excel  2007 il faut :
- cliquer sur la 1er bouton rond en haut à gauche appelé Bouton Microsoft Office 
- Dans la fenêtre cliquer en bas sur le bouton Options Excel
- puis dans la nouvelle fenêtre, sur Centre de gestion de la confidentialité
- puis sur le bouton Paramètres du Centre de gestion de la confidentialité 
- Sélectionner à gauche la ligne Paramètres des macros
- Cocher "désactiver toutes les macros avec notification"
 =&gt; Pour Excel 2010, il faut :
1 cliquer sur Fichier
2 dans le menu à gauche, cliquer sur options
3 puis dans la nouvelle fenêtre, sur Centre de gestion de la confidentialité
4 puis sur le bouton Paramètres du Centre de gestion de la confidentialité 
5 Sélectionner à gauche la ligne Paramètres des macros 
6 Cocher "désactiver toutes les macros avec notification" 
Il est possible de déclarer un dossier comme emplacement approuvé pour éviter de confirmer l'autorisation : 
- reprendre les étapes 1 à 4 et à l'étape 
5 sélectionner Emplacement approuvés
6 cliquer sur le bouton Ajouter un emplacement approuvé
7 sélectionner le dossier à ajouter
</t>
    </r>
  </si>
  <si>
    <t>Détails techniques</t>
  </si>
  <si>
    <t>Modification le 7 décembre : mot de passe de cet onglet</t>
  </si>
  <si>
    <t>indépendant des autres et non touché par le code</t>
  </si>
  <si>
    <t>Couverture territoriale</t>
  </si>
  <si>
    <t>Utilsation d'un plan de formation</t>
  </si>
  <si>
    <t>Nbre de salariés ayant suivi une formation dans l'année</t>
  </si>
  <si>
    <r>
      <rPr>
        <sz val="11"/>
        <color rgb="FF0066FF"/>
        <rFont val="Arial"/>
        <family val="2"/>
      </rPr>
      <t>Vous utilisez l'outil dans le cadre d'</t>
    </r>
    <r>
      <rPr>
        <b/>
        <sz val="11"/>
        <color rgb="FF0066FF"/>
        <rFont val="Arial"/>
        <family val="2"/>
      </rPr>
      <t>un dialogue avec vos partenaires financiers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</si>
</sst>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3" formatCode="_-* #,##0.00\ _€_-;\-* #,##0.00\ _€_-;_-* &quot;-&quot;??\ _€_-;_-@_-"/>
    <numFmt numFmtId="164" formatCode="#,##0\ ;[Red]\-#,##0\ ;&quot;&quot;"/>
    <numFmt numFmtId="165" formatCode="#,##0_ ;[Red]\-#,##0\ "/>
    <numFmt numFmtId="166" formatCode="###0&quot; Actif&quot;"/>
    <numFmt numFmtId="167" formatCode="###0&quot; Passif&quot;"/>
    <numFmt numFmtId="168" formatCode="###0&quot; Produits&quot;"/>
    <numFmt numFmtId="169" formatCode="###0&quot; Charges&quot;"/>
    <numFmt numFmtId="170" formatCode="[$-40C]d\-mmm;@"/>
    <numFmt numFmtId="171" formatCode="&quot; Prév.actualisé&quot;###0"/>
    <numFmt numFmtId="172" formatCode="0.0%"/>
    <numFmt numFmtId="173" formatCode="&quot; Prévisionnel &quot;###0"/>
    <numFmt numFmtId="174" formatCode="#,##0\ &quot;€&quot;"/>
    <numFmt numFmtId="175" formatCode="&quot; Nbre salariés &quot;###0"/>
    <numFmt numFmtId="176" formatCode="&quot; ETP &quot;###0"/>
    <numFmt numFmtId="177" formatCode="0.0"/>
    <numFmt numFmtId="178" formatCode="###0&quot; jours&quot;"/>
    <numFmt numFmtId="179" formatCode="&quot; Prév. &quot;###0"/>
    <numFmt numFmtId="180" formatCode="[$-40C]mmmm\-yy;@"/>
    <numFmt numFmtId="181" formatCode="[$-40C]mmm\-yy;@"/>
    <numFmt numFmtId="182" formatCode="&quot; Prév.&quot;###0"/>
    <numFmt numFmtId="183" formatCode="&quot; prév.&quot;###0"/>
    <numFmt numFmtId="184" formatCode="#,##0\ ;[Red]\-#,##0\ "/>
    <numFmt numFmtId="185" formatCode="dd/mm/yy;@"/>
    <numFmt numFmtId="186" formatCode="0\ &quot;mois&quot;"/>
    <numFmt numFmtId="187" formatCode="#,##0\ &quot;€&quot;;\-#,##0\ &quot;€&quot;;\-\ &quot;€&quot;"/>
    <numFmt numFmtId="188" formatCode="#,##0\ ;[Black]\-#,##0\ ;&quot;&quot;"/>
    <numFmt numFmtId="189" formatCode="#,##0&quot; Jours&quot;"/>
    <numFmt numFmtId="190" formatCode="#,##0_ ;\-#,##0\ "/>
    <numFmt numFmtId="191" formatCode="_-* #,##0\ _€_-;\-* #,##0\ _€_-;_-* &quot;-&quot;??\ _€_-;_-@_-"/>
    <numFmt numFmtId="192" formatCode="&quot; Activités menées en &quot;###0"/>
    <numFmt numFmtId="193" formatCode="#,##0&quot; h.&quot;"/>
    <numFmt numFmtId="194" formatCode="#,##0&quot; mois&quot;"/>
    <numFmt numFmtId="195" formatCode="#,##0__&quot;  &quot;__\ ;[Red]\-#,##0__&quot;  &quot;__\ "/>
    <numFmt numFmtId="196" formatCode="0&quot;.&quot;;;;@"/>
  </numFmts>
  <fonts count="144" x14ac:knownFonts="1">
    <font>
      <sz val="11"/>
      <color theme="1"/>
      <name val="Calibri"/>
      <family val="2"/>
      <scheme val="minor"/>
    </font>
    <font>
      <sz val="11"/>
      <color indexed="8"/>
      <name val="Calibri"/>
      <family val="2"/>
    </font>
    <font>
      <sz val="11"/>
      <color indexed="8"/>
      <name val="Arial"/>
      <family val="2"/>
    </font>
    <font>
      <b/>
      <sz val="12"/>
      <color indexed="8"/>
      <name val="Arial"/>
      <family val="2"/>
    </font>
    <font>
      <sz val="10"/>
      <color indexed="8"/>
      <name val="Arial"/>
      <family val="2"/>
    </font>
    <font>
      <b/>
      <sz val="10"/>
      <color indexed="8"/>
      <name val="Arial"/>
      <family val="2"/>
    </font>
    <font>
      <b/>
      <sz val="11"/>
      <color indexed="8"/>
      <name val="Arial"/>
      <family val="2"/>
    </font>
    <font>
      <sz val="10"/>
      <name val="Arial"/>
      <family val="2"/>
    </font>
    <font>
      <i/>
      <sz val="8"/>
      <color indexed="23"/>
      <name val="Arial"/>
      <family val="2"/>
    </font>
    <font>
      <sz val="8"/>
      <color indexed="39"/>
      <name val="Tahoma"/>
      <family val="2"/>
    </font>
    <font>
      <b/>
      <sz val="11"/>
      <color theme="1"/>
      <name val="Calibri"/>
      <family val="2"/>
      <scheme val="minor"/>
    </font>
    <font>
      <sz val="18"/>
      <color indexed="9"/>
      <name val="Arial"/>
      <family val="2"/>
    </font>
    <font>
      <sz val="10"/>
      <color indexed="8"/>
      <name val="Arial"/>
      <family val="2"/>
    </font>
    <font>
      <b/>
      <sz val="10"/>
      <color indexed="8"/>
      <name val="Arial"/>
      <family val="2"/>
    </font>
    <font>
      <sz val="10"/>
      <color indexed="10"/>
      <name val="Arial"/>
      <family val="2"/>
    </font>
    <font>
      <b/>
      <sz val="12"/>
      <color indexed="9"/>
      <name val="Arial"/>
      <family val="2"/>
    </font>
    <font>
      <b/>
      <sz val="10"/>
      <color indexed="9"/>
      <name val="Arial"/>
      <family val="2"/>
    </font>
    <font>
      <b/>
      <sz val="10"/>
      <name val="Arial"/>
      <family val="2"/>
    </font>
    <font>
      <b/>
      <sz val="11"/>
      <color indexed="8"/>
      <name val="Arial"/>
      <family val="2"/>
    </font>
    <font>
      <sz val="8"/>
      <color indexed="12"/>
      <name val="Tahoma"/>
      <family val="2"/>
    </font>
    <font>
      <i/>
      <sz val="10"/>
      <color theme="1" tint="0.499984740745262"/>
      <name val="Arial"/>
      <family val="2"/>
    </font>
    <font>
      <sz val="11"/>
      <color indexed="8"/>
      <name val="Arial"/>
      <family val="2"/>
    </font>
    <font>
      <i/>
      <sz val="9"/>
      <color theme="1" tint="0.499984740745262"/>
      <name val="Arial"/>
      <family val="2"/>
    </font>
    <font>
      <i/>
      <sz val="8"/>
      <color theme="1" tint="0.34998626667073579"/>
      <name val="Arial"/>
      <family val="2"/>
    </font>
    <font>
      <b/>
      <sz val="11"/>
      <color theme="1" tint="0.34998626667073579"/>
      <name val="Arial"/>
      <family val="2"/>
    </font>
    <font>
      <sz val="11"/>
      <color theme="1" tint="0.34998626667073579"/>
      <name val="Arial"/>
      <family val="2"/>
    </font>
    <font>
      <b/>
      <sz val="13"/>
      <color indexed="8"/>
      <name val="Arial"/>
      <family val="2"/>
    </font>
    <font>
      <b/>
      <sz val="14"/>
      <color indexed="8"/>
      <name val="Arial"/>
      <family val="2"/>
    </font>
    <font>
      <b/>
      <sz val="14"/>
      <color indexed="9"/>
      <name val="Arial"/>
      <family val="2"/>
    </font>
    <font>
      <b/>
      <sz val="10"/>
      <color indexed="10"/>
      <name val="Arial"/>
      <family val="2"/>
    </font>
    <font>
      <i/>
      <sz val="8"/>
      <color theme="1" tint="0.499984740745262"/>
      <name val="Arial"/>
      <family val="2"/>
    </font>
    <font>
      <i/>
      <sz val="10"/>
      <color indexed="23"/>
      <name val="Arial"/>
      <family val="2"/>
    </font>
    <font>
      <sz val="11"/>
      <color indexed="10"/>
      <name val="Arial"/>
      <family val="2"/>
    </font>
    <font>
      <b/>
      <sz val="11"/>
      <color rgb="FFFFC000"/>
      <name val="Arial"/>
      <family val="2"/>
    </font>
    <font>
      <b/>
      <sz val="10"/>
      <color theme="5"/>
      <name val="Arial"/>
      <family val="2"/>
    </font>
    <font>
      <sz val="11"/>
      <color indexed="9"/>
      <name val="Arial"/>
      <family val="2"/>
    </font>
    <font>
      <sz val="11"/>
      <name val="Arial"/>
      <family val="2"/>
    </font>
    <font>
      <i/>
      <sz val="9"/>
      <color indexed="23"/>
      <name val="Arial"/>
      <family val="2"/>
    </font>
    <font>
      <b/>
      <sz val="9"/>
      <name val="Arial"/>
      <family val="2"/>
    </font>
    <font>
      <sz val="9"/>
      <name val="Arial"/>
      <family val="2"/>
    </font>
    <font>
      <sz val="8"/>
      <color indexed="8"/>
      <name val="Arial"/>
      <family val="2"/>
    </font>
    <font>
      <b/>
      <sz val="12"/>
      <name val="Arial"/>
      <family val="2"/>
    </font>
    <font>
      <b/>
      <sz val="11"/>
      <name val="Arial"/>
      <family val="2"/>
    </font>
    <font>
      <i/>
      <sz val="10"/>
      <name val="Arial"/>
      <family val="2"/>
    </font>
    <font>
      <b/>
      <sz val="11"/>
      <color indexed="9"/>
      <name val="Arial"/>
      <family val="2"/>
    </font>
    <font>
      <b/>
      <sz val="11"/>
      <color rgb="FFFF5050"/>
      <name val="Calibri"/>
      <family val="2"/>
      <scheme val="minor"/>
    </font>
    <font>
      <b/>
      <sz val="14"/>
      <color rgb="FFFF5050"/>
      <name val="Calibri"/>
      <family val="2"/>
      <scheme val="minor"/>
    </font>
    <font>
      <b/>
      <sz val="10"/>
      <color theme="9" tint="-0.249977111117893"/>
      <name val="Arial"/>
      <family val="2"/>
    </font>
    <font>
      <sz val="10"/>
      <color theme="0" tint="-0.249977111117893"/>
      <name val="Arial"/>
      <family val="2"/>
    </font>
    <font>
      <sz val="8"/>
      <name val="Arial"/>
      <family val="2"/>
    </font>
    <font>
      <sz val="8"/>
      <name val="Verdana"/>
      <family val="2"/>
    </font>
    <font>
      <i/>
      <sz val="8"/>
      <color indexed="8"/>
      <name val="Arial"/>
      <family val="2"/>
    </font>
    <font>
      <b/>
      <sz val="10"/>
      <color rgb="FFFF0000"/>
      <name val="Arial"/>
      <family val="2"/>
    </font>
    <font>
      <sz val="11"/>
      <color rgb="FFFF0000"/>
      <name val="Arial"/>
      <family val="2"/>
    </font>
    <font>
      <sz val="10"/>
      <color theme="9" tint="-0.249977111117893"/>
      <name val="Arial"/>
      <family val="2"/>
    </font>
    <font>
      <i/>
      <sz val="10"/>
      <color theme="9" tint="-0.249977111117893"/>
      <name val="Arial"/>
      <family val="2"/>
    </font>
    <font>
      <i/>
      <sz val="10"/>
      <color theme="0" tint="-0.499984740745262"/>
      <name val="Arial"/>
      <family val="2"/>
    </font>
    <font>
      <sz val="10"/>
      <color rgb="FFFF5050"/>
      <name val="Arial"/>
      <family val="2"/>
    </font>
    <font>
      <sz val="8"/>
      <color indexed="10"/>
      <name val="Arial"/>
      <family val="2"/>
    </font>
    <font>
      <b/>
      <sz val="11"/>
      <color rgb="FFFF0000"/>
      <name val="Arial"/>
      <family val="2"/>
    </font>
    <font>
      <sz val="16"/>
      <color indexed="9"/>
      <name val="Arial"/>
      <family val="2"/>
    </font>
    <font>
      <sz val="9"/>
      <color rgb="FF4A74C8"/>
      <name val="Arial"/>
      <family val="2"/>
    </font>
    <font>
      <b/>
      <i/>
      <sz val="8"/>
      <color theme="1" tint="0.499984740745262"/>
      <name val="Arial"/>
      <family val="2"/>
    </font>
    <font>
      <sz val="10"/>
      <color theme="1" tint="0.499984740745262"/>
      <name val="Arial"/>
      <family val="2"/>
    </font>
    <font>
      <sz val="10"/>
      <color theme="0" tint="-0.499984740745262"/>
      <name val="Arial"/>
      <family val="2"/>
    </font>
    <font>
      <b/>
      <i/>
      <sz val="10"/>
      <color rgb="FFC00000"/>
      <name val="Arial"/>
      <family val="2"/>
    </font>
    <font>
      <b/>
      <sz val="10"/>
      <color rgb="FFC00000"/>
      <name val="Arial"/>
      <family val="2"/>
    </font>
    <font>
      <sz val="10"/>
      <color rgb="FFFFC000"/>
      <name val="Arial"/>
      <family val="2"/>
    </font>
    <font>
      <sz val="9"/>
      <color indexed="12"/>
      <name val="Tahoma"/>
      <family val="2"/>
    </font>
    <font>
      <sz val="9"/>
      <color indexed="8"/>
      <name val="Arial"/>
      <family val="2"/>
    </font>
    <font>
      <b/>
      <sz val="11"/>
      <color theme="9" tint="-0.249977111117893"/>
      <name val="Arial"/>
      <family val="2"/>
    </font>
    <font>
      <sz val="12"/>
      <color indexed="8"/>
      <name val="Arial"/>
      <family val="2"/>
    </font>
    <font>
      <sz val="10"/>
      <color theme="1"/>
      <name val="Arial"/>
      <family val="2"/>
    </font>
    <font>
      <b/>
      <sz val="10"/>
      <color theme="1"/>
      <name val="Arial"/>
      <family val="2"/>
    </font>
    <font>
      <b/>
      <sz val="12"/>
      <color theme="9" tint="-0.249977111117893"/>
      <name val="Arial"/>
      <family val="2"/>
    </font>
    <font>
      <b/>
      <sz val="12"/>
      <color theme="1"/>
      <name val="Arial"/>
      <family val="2"/>
    </font>
    <font>
      <sz val="8"/>
      <color theme="0"/>
      <name val="Arial"/>
      <family val="2"/>
    </font>
    <font>
      <b/>
      <sz val="11"/>
      <name val="Calibri"/>
      <family val="2"/>
      <scheme val="minor"/>
    </font>
    <font>
      <b/>
      <sz val="18"/>
      <color indexed="9"/>
      <name val="Arial"/>
      <family val="2"/>
    </font>
    <font>
      <b/>
      <sz val="11"/>
      <color indexed="8"/>
      <name val="Calibri"/>
      <family val="2"/>
    </font>
    <font>
      <sz val="10"/>
      <name val="Calibri"/>
      <family val="2"/>
    </font>
    <font>
      <i/>
      <sz val="10"/>
      <color indexed="8"/>
      <name val="Arial"/>
      <family val="2"/>
    </font>
    <font>
      <sz val="11"/>
      <color theme="1"/>
      <name val="Arial"/>
      <family val="2"/>
    </font>
    <font>
      <b/>
      <sz val="16"/>
      <color indexed="9"/>
      <name val="Arial"/>
      <family val="2"/>
    </font>
    <font>
      <b/>
      <sz val="11"/>
      <color theme="1"/>
      <name val="Arial"/>
      <family val="2"/>
    </font>
    <font>
      <sz val="6"/>
      <color theme="1"/>
      <name val="Arial"/>
      <family val="2"/>
    </font>
    <font>
      <sz val="8"/>
      <color rgb="FFFF0000"/>
      <name val="Arial"/>
      <family val="2"/>
    </font>
    <font>
      <sz val="10"/>
      <color rgb="FFFF0000"/>
      <name val="Arial"/>
      <family val="2"/>
    </font>
    <font>
      <i/>
      <sz val="11"/>
      <color theme="1"/>
      <name val="Arial"/>
      <family val="2"/>
    </font>
    <font>
      <sz val="10"/>
      <color theme="5"/>
      <name val="Arial"/>
      <family val="2"/>
    </font>
    <font>
      <sz val="10"/>
      <color theme="6"/>
      <name val="Arial"/>
      <family val="2"/>
    </font>
    <font>
      <sz val="11"/>
      <color theme="5"/>
      <name val="Arial"/>
      <family val="2"/>
    </font>
    <font>
      <sz val="11"/>
      <color theme="6"/>
      <name val="Arial"/>
      <family val="2"/>
    </font>
    <font>
      <b/>
      <sz val="10"/>
      <color theme="8" tint="-0.249977111117893"/>
      <name val="Arial"/>
      <family val="2"/>
    </font>
    <font>
      <b/>
      <sz val="10"/>
      <color theme="0"/>
      <name val="Arial"/>
      <family val="2"/>
    </font>
    <font>
      <b/>
      <sz val="11"/>
      <color rgb="FFFF0000"/>
      <name val="Calibri"/>
      <family val="2"/>
      <scheme val="minor"/>
    </font>
    <font>
      <sz val="11"/>
      <color rgb="FFFF0000"/>
      <name val="Calibri"/>
      <family val="2"/>
      <scheme val="minor"/>
    </font>
    <font>
      <b/>
      <sz val="11"/>
      <color rgb="FFFF5050"/>
      <name val="Arial"/>
      <family val="2"/>
    </font>
    <font>
      <sz val="9"/>
      <color rgb="FF808080"/>
      <name val="Arial"/>
      <family val="2"/>
    </font>
    <font>
      <b/>
      <sz val="9"/>
      <color rgb="FF808080"/>
      <name val="Arial"/>
      <family val="2"/>
    </font>
    <font>
      <i/>
      <sz val="9"/>
      <color rgb="FF808080"/>
      <name val="Arial"/>
      <family val="2"/>
    </font>
    <font>
      <b/>
      <sz val="13"/>
      <color theme="9" tint="-0.249977111117893"/>
      <name val="Arial"/>
      <family val="2"/>
    </font>
    <font>
      <b/>
      <sz val="10"/>
      <color theme="1" tint="0.499984740745262"/>
      <name val="Arial"/>
      <family val="2"/>
    </font>
    <font>
      <sz val="14"/>
      <color rgb="FFFF0000"/>
      <name val="Arial"/>
      <family val="2"/>
    </font>
    <font>
      <sz val="10"/>
      <color theme="0"/>
      <name val="Arial"/>
      <family val="2"/>
    </font>
    <font>
      <sz val="10"/>
      <color indexed="8"/>
      <name val="Calibri"/>
      <family val="2"/>
    </font>
    <font>
      <sz val="10"/>
      <color theme="8" tint="-0.249977111117893"/>
      <name val="Arial"/>
      <family val="2"/>
    </font>
    <font>
      <sz val="9"/>
      <color theme="8" tint="-0.249977111117893"/>
      <name val="Arial"/>
      <family val="2"/>
    </font>
    <font>
      <b/>
      <i/>
      <u/>
      <sz val="10"/>
      <color theme="8" tint="-0.249977111117893"/>
      <name val="Arial"/>
      <family val="2"/>
    </font>
    <font>
      <b/>
      <sz val="8"/>
      <color theme="9" tint="-0.249977111117893"/>
      <name val="Arial"/>
      <family val="2"/>
    </font>
    <font>
      <sz val="8"/>
      <color theme="9" tint="-0.249977111117893"/>
      <name val="Arial"/>
      <family val="2"/>
    </font>
    <font>
      <sz val="10"/>
      <color rgb="FF808080"/>
      <name val="Arial"/>
      <family val="2"/>
    </font>
    <font>
      <sz val="9"/>
      <color rgb="FFFF0000"/>
      <name val="Arial"/>
      <family val="2"/>
    </font>
    <font>
      <b/>
      <sz val="8"/>
      <name val="Arial"/>
      <family val="2"/>
    </font>
    <font>
      <i/>
      <sz val="10"/>
      <color theme="8" tint="-0.249977111117893"/>
      <name val="Arial"/>
      <family val="2"/>
    </font>
    <font>
      <b/>
      <sz val="9"/>
      <color theme="0"/>
      <name val="Arial"/>
      <family val="2"/>
    </font>
    <font>
      <b/>
      <sz val="9"/>
      <color indexed="9"/>
      <name val="Arial"/>
      <family val="2"/>
    </font>
    <font>
      <b/>
      <sz val="9"/>
      <color theme="9" tint="-0.249977111117893"/>
      <name val="Arial"/>
      <family val="2"/>
    </font>
    <font>
      <sz val="12"/>
      <color theme="8" tint="-0.249977111117893"/>
      <name val="Arial"/>
      <family val="2"/>
    </font>
    <font>
      <sz val="8"/>
      <color indexed="81"/>
      <name val="Tahoma"/>
      <family val="2"/>
    </font>
    <font>
      <b/>
      <sz val="8"/>
      <color indexed="81"/>
      <name val="Tahoma"/>
      <family val="2"/>
    </font>
    <font>
      <sz val="11"/>
      <name val="Calibri"/>
      <family val="2"/>
      <scheme val="minor"/>
    </font>
    <font>
      <sz val="11"/>
      <color theme="8" tint="-0.249977111117893"/>
      <name val="Arial"/>
      <family val="2"/>
    </font>
    <font>
      <b/>
      <sz val="11"/>
      <color theme="8" tint="-0.249977111117893"/>
      <name val="Arial"/>
      <family val="2"/>
    </font>
    <font>
      <sz val="8.5"/>
      <color indexed="8"/>
      <name val="Arial"/>
      <family val="2"/>
    </font>
    <font>
      <sz val="8.5"/>
      <color theme="8" tint="-0.249977111117893"/>
      <name val="Arial"/>
      <family val="2"/>
    </font>
    <font>
      <sz val="8.5"/>
      <name val="Arial"/>
      <family val="2"/>
    </font>
    <font>
      <b/>
      <sz val="8.5"/>
      <color theme="8" tint="-0.249977111117893"/>
      <name val="Arial"/>
      <family val="2"/>
    </font>
    <font>
      <sz val="8.5"/>
      <color rgb="FF66CCFF"/>
      <name val="Arial"/>
      <family val="2"/>
    </font>
    <font>
      <b/>
      <sz val="8.5"/>
      <color rgb="FF66CCFF"/>
      <name val="Arial"/>
      <family val="2"/>
    </font>
    <font>
      <sz val="8.5"/>
      <color rgb="FF4A74C8"/>
      <name val="Arial"/>
      <family val="2"/>
    </font>
    <font>
      <sz val="12"/>
      <name val="Calibri"/>
      <family val="2"/>
      <scheme val="minor"/>
    </font>
    <font>
      <b/>
      <sz val="14"/>
      <color rgb="FFFFFF99"/>
      <name val="Arial"/>
      <family val="2"/>
    </font>
    <font>
      <i/>
      <sz val="9"/>
      <color theme="8" tint="-0.249977111117893"/>
      <name val="Arial"/>
      <family val="2"/>
    </font>
    <font>
      <sz val="10"/>
      <color rgb="FF0066FF"/>
      <name val="Arial"/>
      <family val="2"/>
    </font>
    <font>
      <b/>
      <sz val="10"/>
      <color rgb="FF0066FF"/>
      <name val="Arial"/>
      <family val="2"/>
    </font>
    <font>
      <i/>
      <sz val="10"/>
      <color rgb="FF0066FF"/>
      <name val="Arial"/>
      <family val="2"/>
    </font>
    <font>
      <b/>
      <i/>
      <u/>
      <sz val="10"/>
      <color rgb="FF0066FF"/>
      <name val="Arial"/>
      <family val="2"/>
    </font>
    <font>
      <b/>
      <sz val="11"/>
      <color rgb="FF0066FF"/>
      <name val="Arial"/>
      <family val="2"/>
    </font>
    <font>
      <sz val="11"/>
      <color rgb="FF0066FF"/>
      <name val="Arial"/>
      <family val="2"/>
    </font>
    <font>
      <i/>
      <u/>
      <sz val="10"/>
      <color theme="1"/>
      <name val="Arial"/>
      <family val="2"/>
    </font>
    <font>
      <u/>
      <sz val="10"/>
      <color theme="1"/>
      <name val="Arial"/>
      <family val="2"/>
    </font>
    <font>
      <b/>
      <sz val="9"/>
      <color indexed="8"/>
      <name val="Arial"/>
      <family val="2"/>
    </font>
    <font>
      <sz val="12"/>
      <color indexed="9"/>
      <name val="Arial"/>
      <family val="2"/>
    </font>
  </fonts>
  <fills count="22">
    <fill>
      <patternFill patternType="none"/>
    </fill>
    <fill>
      <patternFill patternType="gray125"/>
    </fill>
    <fill>
      <patternFill patternType="solid">
        <fgColor theme="8"/>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rgb="FF4BACC6"/>
        <bgColor indexed="64"/>
      </patternFill>
    </fill>
    <fill>
      <patternFill patternType="solid">
        <fgColor rgb="FFDDD9C3"/>
        <bgColor indexed="64"/>
      </patternFill>
    </fill>
    <fill>
      <patternFill patternType="solid">
        <fgColor rgb="FFBFBFBF"/>
        <bgColor indexed="64"/>
      </patternFill>
    </fill>
    <fill>
      <patternFill patternType="solid">
        <fgColor rgb="FFFFCC66"/>
        <bgColor indexed="64"/>
      </patternFill>
    </fill>
    <fill>
      <patternFill patternType="solid">
        <fgColor rgb="FF92D050"/>
        <bgColor indexed="64"/>
      </patternFill>
    </fill>
    <fill>
      <patternFill patternType="solid">
        <fgColor rgb="FF0070C0"/>
        <bgColor indexed="64"/>
      </patternFill>
    </fill>
    <fill>
      <patternFill patternType="solid">
        <fgColor theme="8" tint="0.79998168889431442"/>
        <bgColor indexed="64"/>
      </patternFill>
    </fill>
    <fill>
      <patternFill patternType="gray125">
        <fgColor theme="1"/>
        <bgColor theme="0"/>
      </patternFill>
    </fill>
    <fill>
      <patternFill patternType="gray125">
        <fgColor auto="1"/>
        <bgColor theme="0"/>
      </patternFill>
    </fill>
    <fill>
      <patternFill patternType="solid">
        <fgColor theme="1" tint="0.499984740745262"/>
        <bgColor indexed="64"/>
      </patternFill>
    </fill>
    <fill>
      <patternFill patternType="solid">
        <fgColor rgb="FFFFFFCC"/>
        <bgColor indexed="64"/>
      </patternFill>
    </fill>
    <fill>
      <patternFill patternType="solid">
        <fgColor rgb="FF00B0F0"/>
        <bgColor indexed="64"/>
      </patternFill>
    </fill>
    <fill>
      <patternFill patternType="solid">
        <fgColor rgb="FFFFFF00"/>
        <bgColor indexed="64"/>
      </patternFill>
    </fill>
    <fill>
      <patternFill patternType="solid">
        <fgColor rgb="FF00B050"/>
        <bgColor indexed="64"/>
      </patternFill>
    </fill>
    <fill>
      <patternFill patternType="solid">
        <fgColor rgb="FF878543"/>
        <bgColor indexed="64"/>
      </patternFill>
    </fill>
  </fills>
  <borders count="467">
    <border>
      <left/>
      <right/>
      <top/>
      <bottom/>
      <diagonal/>
    </border>
    <border>
      <left style="thin">
        <color indexed="64"/>
      </left>
      <right style="thin">
        <color indexed="64"/>
      </right>
      <top style="thin">
        <color indexed="64"/>
      </top>
      <bottom style="thin">
        <color indexed="64"/>
      </bottom>
      <diagonal/>
    </border>
    <border>
      <left style="hair">
        <color indexed="8"/>
      </left>
      <right style="hair">
        <color indexed="8"/>
      </right>
      <top/>
      <bottom style="thin">
        <color indexed="8"/>
      </bottom>
      <diagonal/>
    </border>
    <border>
      <left style="thin">
        <color indexed="23"/>
      </left>
      <right/>
      <top/>
      <bottom/>
      <diagonal/>
    </border>
    <border>
      <left/>
      <right style="hair">
        <color indexed="8"/>
      </right>
      <top/>
      <bottom style="thin">
        <color indexed="8"/>
      </bottom>
      <diagonal/>
    </border>
    <border>
      <left style="hair">
        <color indexed="8"/>
      </left>
      <right style="hair">
        <color indexed="8"/>
      </right>
      <top/>
      <bottom/>
      <diagonal/>
    </border>
    <border>
      <left style="thin">
        <color indexed="23"/>
      </left>
      <right/>
      <top style="thin">
        <color indexed="23"/>
      </top>
      <bottom style="thick">
        <color indexed="23"/>
      </bottom>
      <diagonal/>
    </border>
    <border>
      <left/>
      <right/>
      <top style="thin">
        <color indexed="23"/>
      </top>
      <bottom style="thick">
        <color indexed="23"/>
      </bottom>
      <diagonal/>
    </border>
    <border>
      <left/>
      <right style="thick">
        <color indexed="23"/>
      </right>
      <top style="thin">
        <color indexed="23"/>
      </top>
      <bottom style="thick">
        <color indexed="23"/>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8"/>
      </left>
      <right style="hair">
        <color indexed="8"/>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8"/>
      </right>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hair">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right style="thin">
        <color theme="1" tint="0.499984740745262"/>
      </right>
      <top style="thin">
        <color theme="1" tint="0.499984740745262"/>
      </top>
      <bottom style="thick">
        <color theme="1" tint="0.499984740745262"/>
      </bottom>
      <diagonal/>
    </border>
    <border>
      <left/>
      <right style="hair">
        <color indexed="8"/>
      </right>
      <top style="thin">
        <color theme="1" tint="0.499984740745262"/>
      </top>
      <bottom style="thin">
        <color theme="1" tint="0.499984740745262"/>
      </bottom>
      <diagonal/>
    </border>
    <border>
      <left/>
      <right style="hair">
        <color theme="1" tint="0.499984740745262"/>
      </right>
      <top style="thin">
        <color theme="1" tint="0.499984740745262"/>
      </top>
      <bottom/>
      <diagonal/>
    </border>
    <border>
      <left/>
      <right style="hair">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thin">
        <color theme="1" tint="0.499984740745262"/>
      </top>
      <bottom style="thin">
        <color theme="1" tint="0.499984740745262"/>
      </bottom>
      <diagonal/>
    </border>
    <border>
      <left/>
      <right style="hair">
        <color theme="1" tint="0.499984740745262"/>
      </right>
      <top/>
      <bottom style="thin">
        <color theme="1" tint="0.499984740745262"/>
      </bottom>
      <diagonal/>
    </border>
    <border>
      <left style="hair">
        <color theme="1" tint="0.499984740745262"/>
      </left>
      <right/>
      <top style="thin">
        <color theme="1" tint="0.499984740745262"/>
      </top>
      <bottom style="thin">
        <color theme="1" tint="0.499984740745262"/>
      </bottom>
      <diagonal/>
    </border>
    <border>
      <left style="hair">
        <color theme="1" tint="0.499984740745262"/>
      </left>
      <right style="hair">
        <color theme="1" tint="0.499984740745262"/>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hair">
        <color theme="1" tint="0.499984740745262"/>
      </right>
      <top style="thin">
        <color theme="1" tint="0.499984740745262"/>
      </top>
      <bottom/>
      <diagonal/>
    </border>
    <border>
      <left style="hair">
        <color theme="1" tint="0.499984740745262"/>
      </left>
      <right style="hair">
        <color theme="1" tint="0.499984740745262"/>
      </right>
      <top style="thin">
        <color theme="1" tint="0.499984740745262"/>
      </top>
      <bottom/>
      <diagonal/>
    </border>
    <border>
      <left/>
      <right style="thin">
        <color theme="1" tint="0.499984740745262"/>
      </right>
      <top/>
      <bottom style="thin">
        <color theme="1" tint="0.499984740745262"/>
      </bottom>
      <diagonal/>
    </border>
    <border>
      <left style="hair">
        <color theme="1" tint="0.499984740745262"/>
      </left>
      <right style="hair">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hair">
        <color theme="1" tint="0.499984740745262"/>
      </right>
      <top/>
      <bottom/>
      <diagonal/>
    </border>
    <border>
      <left style="thin">
        <color theme="1" tint="0.499984740745262"/>
      </left>
      <right style="thin">
        <color theme="1" tint="0.499984740745262"/>
      </right>
      <top/>
      <bottom style="thick">
        <color theme="1" tint="0.499984740745262"/>
      </bottom>
      <diagonal/>
    </border>
    <border>
      <left/>
      <right/>
      <top style="thick">
        <color indexed="23"/>
      </top>
      <bottom style="thin">
        <color theme="1" tint="0.499984740745262"/>
      </bottom>
      <diagonal/>
    </border>
    <border>
      <left/>
      <right style="hair">
        <color indexed="8"/>
      </right>
      <top/>
      <bottom style="thin">
        <color indexed="64"/>
      </bottom>
      <diagonal/>
    </border>
    <border>
      <left style="hair">
        <color indexed="8"/>
      </left>
      <right/>
      <top style="thin">
        <color theme="1" tint="0.499984740745262"/>
      </top>
      <bottom/>
      <diagonal/>
    </border>
    <border>
      <left style="hair">
        <color indexed="8"/>
      </left>
      <right style="hair">
        <color indexed="8"/>
      </right>
      <top style="thin">
        <color theme="1" tint="0.499984740745262"/>
      </top>
      <bottom style="thin">
        <color theme="1" tint="0.499984740745262"/>
      </bottom>
      <diagonal/>
    </border>
    <border>
      <left style="hair">
        <color indexed="64"/>
      </left>
      <right style="thin">
        <color theme="1" tint="0.499984740745262"/>
      </right>
      <top/>
      <bottom/>
      <diagonal/>
    </border>
    <border>
      <left/>
      <right style="thin">
        <color theme="1" tint="0.499984740745262"/>
      </right>
      <top/>
      <bottom style="thin">
        <color indexed="64"/>
      </bottom>
      <diagonal/>
    </border>
    <border>
      <left/>
      <right style="hair">
        <color indexed="64"/>
      </right>
      <top/>
      <bottom style="thin">
        <color theme="1" tint="0.499984740745262"/>
      </bottom>
      <diagonal/>
    </border>
    <border>
      <left style="hair">
        <color indexed="64"/>
      </left>
      <right style="hair">
        <color indexed="64"/>
      </right>
      <top/>
      <bottom style="thin">
        <color theme="1" tint="0.499984740745262"/>
      </bottom>
      <diagonal/>
    </border>
    <border>
      <left/>
      <right style="hair">
        <color indexed="64"/>
      </right>
      <top style="thin">
        <color theme="1" tint="0.499984740745262"/>
      </top>
      <bottom style="thin">
        <color theme="1" tint="0.499984740745262"/>
      </bottom>
      <diagonal/>
    </border>
    <border>
      <left style="hair">
        <color indexed="8"/>
      </left>
      <right style="thin">
        <color theme="1" tint="0.499984740745262"/>
      </right>
      <top style="thin">
        <color theme="1" tint="0.499984740745262"/>
      </top>
      <bottom style="thin">
        <color theme="1" tint="0.499984740745262"/>
      </bottom>
      <diagonal/>
    </border>
    <border>
      <left style="hair">
        <color indexed="8"/>
      </left>
      <right style="thin">
        <color theme="1" tint="0.499984740745262"/>
      </right>
      <top style="thin">
        <color theme="1" tint="0.499984740745262"/>
      </top>
      <bottom/>
      <diagonal/>
    </border>
    <border>
      <left style="hair">
        <color indexed="8"/>
      </left>
      <right style="thin">
        <color theme="1" tint="0.499984740745262"/>
      </right>
      <top/>
      <bottom/>
      <diagonal/>
    </border>
    <border>
      <left/>
      <right style="hair">
        <color indexed="8"/>
      </right>
      <top style="thin">
        <color theme="1" tint="0.499984740745262"/>
      </top>
      <bottom/>
      <diagonal/>
    </border>
    <border>
      <left/>
      <right style="hair">
        <color indexed="8"/>
      </right>
      <top/>
      <bottom style="thin">
        <color theme="1" tint="0.499984740745262"/>
      </bottom>
      <diagonal/>
    </border>
    <border>
      <left style="hair">
        <color indexed="8"/>
      </left>
      <right style="hair">
        <color indexed="8"/>
      </right>
      <top/>
      <bottom style="thin">
        <color theme="1" tint="0.499984740745262"/>
      </bottom>
      <diagonal/>
    </border>
    <border>
      <left style="hair">
        <color indexed="8"/>
      </left>
      <right style="thin">
        <color theme="1" tint="0.499984740745262"/>
      </right>
      <top/>
      <bottom style="thin">
        <color theme="1" tint="0.499984740745262"/>
      </bottom>
      <diagonal/>
    </border>
    <border>
      <left style="thin">
        <color theme="1" tint="0.499984740745262"/>
      </left>
      <right style="hair">
        <color indexed="8"/>
      </right>
      <top/>
      <bottom style="thin">
        <color theme="1" tint="0.499984740745262"/>
      </bottom>
      <diagonal/>
    </border>
    <border>
      <left style="hair">
        <color indexed="8"/>
      </left>
      <right/>
      <top/>
      <bottom style="thin">
        <color theme="1" tint="0.499984740745262"/>
      </bottom>
      <diagonal/>
    </border>
    <border>
      <left style="thin">
        <color theme="1" tint="0.499984740745262"/>
      </left>
      <right style="hair">
        <color indexed="8"/>
      </right>
      <top style="thin">
        <color theme="1" tint="0.499984740745262"/>
      </top>
      <bottom style="thin">
        <color theme="1" tint="0.499984740745262"/>
      </bottom>
      <diagonal/>
    </border>
    <border>
      <left style="thin">
        <color theme="1" tint="0.499984740745262"/>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thin">
        <color theme="1" tint="0.499984740745262"/>
      </left>
      <right style="hair">
        <color indexed="64"/>
      </right>
      <top/>
      <bottom style="thin">
        <color theme="1" tint="0.499984740745262"/>
      </bottom>
      <diagonal/>
    </border>
    <border>
      <left style="hair">
        <color indexed="8"/>
      </left>
      <right style="thin">
        <color theme="1" tint="0.499984740745262"/>
      </right>
      <top/>
      <bottom style="thin">
        <color indexed="8"/>
      </bottom>
      <diagonal/>
    </border>
    <border>
      <left style="thin">
        <color theme="1" tint="0.499984740745262"/>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thin">
        <color theme="1" tint="0.499984740745262"/>
      </left>
      <right style="hair">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bottom style="thin">
        <color rgb="FF808080"/>
      </bottom>
      <diagonal/>
    </border>
    <border>
      <left/>
      <right style="thin">
        <color rgb="FF808080"/>
      </right>
      <top style="thin">
        <color rgb="FF808080"/>
      </top>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hair">
        <color indexed="64"/>
      </left>
      <right style="thin">
        <color rgb="FF808080"/>
      </right>
      <top style="thin">
        <color rgb="FF808080"/>
      </top>
      <bottom style="thin">
        <color rgb="FF808080"/>
      </bottom>
      <diagonal/>
    </border>
    <border>
      <left style="hair">
        <color indexed="64"/>
      </left>
      <right style="thin">
        <color rgb="FF808080"/>
      </right>
      <top/>
      <bottom style="thin">
        <color rgb="FF808080"/>
      </bottom>
      <diagonal/>
    </border>
    <border>
      <left/>
      <right style="thin">
        <color rgb="FF808080"/>
      </right>
      <top style="thin">
        <color rgb="FF808080"/>
      </top>
      <bottom style="thick">
        <color rgb="FF808080"/>
      </bottom>
      <diagonal/>
    </border>
    <border>
      <left style="thin">
        <color rgb="FF808080"/>
      </left>
      <right/>
      <top/>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top style="thin">
        <color theme="1" tint="0.499984740745262"/>
      </top>
      <bottom/>
      <diagonal/>
    </border>
    <border>
      <left/>
      <right style="thin">
        <color rgb="FF808080"/>
      </right>
      <top style="thin">
        <color theme="1" tint="0.499984740745262"/>
      </top>
      <bottom style="thin">
        <color theme="1" tint="0.499984740745262"/>
      </bottom>
      <diagonal/>
    </border>
    <border>
      <left/>
      <right style="thin">
        <color rgb="FF808080"/>
      </right>
      <top style="thin">
        <color theme="1" tint="0.499984740745262"/>
      </top>
      <bottom style="thick">
        <color theme="1" tint="0.499984740745262"/>
      </bottom>
      <diagonal/>
    </border>
    <border>
      <left/>
      <right/>
      <top style="thin">
        <color theme="1" tint="0.499984740745262"/>
      </top>
      <bottom style="thick">
        <color rgb="FF808080"/>
      </bottom>
      <diagonal/>
    </border>
    <border>
      <left/>
      <right style="thin">
        <color rgb="FF808080"/>
      </right>
      <top/>
      <bottom/>
      <diagonal/>
    </border>
    <border>
      <left style="thin">
        <color rgb="FF808080"/>
      </left>
      <right style="thick">
        <color rgb="FF808080"/>
      </right>
      <top style="thin">
        <color rgb="FF808080"/>
      </top>
      <bottom style="thick">
        <color rgb="FF808080"/>
      </bottom>
      <diagonal/>
    </border>
    <border>
      <left/>
      <right style="thin">
        <color rgb="FF808080"/>
      </right>
      <top style="thin">
        <color theme="1" tint="0.499984740745262"/>
      </top>
      <bottom/>
      <diagonal/>
    </border>
    <border>
      <left style="thin">
        <color rgb="FF808080"/>
      </left>
      <right/>
      <top style="thin">
        <color theme="1" tint="0.499984740745262"/>
      </top>
      <bottom style="thick">
        <color rgb="FF808080"/>
      </bottom>
      <diagonal/>
    </border>
    <border>
      <left style="hair">
        <color theme="1" tint="0.499984740745262"/>
      </left>
      <right style="thin">
        <color theme="1" tint="0.499984740745262"/>
      </right>
      <top style="thin">
        <color theme="1" tint="0.499984740745262"/>
      </top>
      <bottom/>
      <diagonal/>
    </border>
    <border>
      <left style="thin">
        <color rgb="FF808080"/>
      </left>
      <right style="hair">
        <color rgb="FF808080"/>
      </right>
      <top style="thin">
        <color rgb="FF808080"/>
      </top>
      <bottom/>
      <diagonal/>
    </border>
    <border>
      <left style="thin">
        <color theme="1" tint="0.499984740745262"/>
      </left>
      <right style="hair">
        <color rgb="FF808080"/>
      </right>
      <top style="thin">
        <color theme="1" tint="0.499984740745262"/>
      </top>
      <bottom style="thin">
        <color theme="1" tint="0.499984740745262"/>
      </bottom>
      <diagonal/>
    </border>
    <border>
      <left style="thin">
        <color theme="1" tint="0.499984740745262"/>
      </left>
      <right style="hair">
        <color rgb="FF808080"/>
      </right>
      <top style="thin">
        <color theme="1" tint="0.499984740745262"/>
      </top>
      <bottom/>
      <diagonal/>
    </border>
    <border>
      <left style="thin">
        <color rgb="FF808080"/>
      </left>
      <right style="hair">
        <color rgb="FF808080"/>
      </right>
      <top style="thin">
        <color rgb="FF808080"/>
      </top>
      <bottom style="thin">
        <color rgb="FF808080"/>
      </bottom>
      <diagonal/>
    </border>
    <border>
      <left style="thin">
        <color theme="1" tint="0.499984740745262"/>
      </left>
      <right style="hair">
        <color rgb="FF808080"/>
      </right>
      <top/>
      <bottom style="thin">
        <color theme="1" tint="0.499984740745262"/>
      </bottom>
      <diagonal/>
    </border>
    <border>
      <left style="thin">
        <color theme="1" tint="0.499984740745262"/>
      </left>
      <right style="hair">
        <color rgb="FF808080"/>
      </right>
      <top style="thin">
        <color theme="1" tint="0.499984740745262"/>
      </top>
      <bottom style="thick">
        <color theme="1" tint="0.499984740745262"/>
      </bottom>
      <diagonal/>
    </border>
    <border>
      <left style="hair">
        <color rgb="FF808080"/>
      </left>
      <right style="hair">
        <color rgb="FF808080"/>
      </right>
      <top style="thin">
        <color theme="1" tint="0.499984740745262"/>
      </top>
      <bottom style="thick">
        <color theme="1" tint="0.499984740745262"/>
      </bottom>
      <diagonal/>
    </border>
    <border>
      <left style="hair">
        <color rgb="FF808080"/>
      </left>
      <right style="hair">
        <color rgb="FF808080"/>
      </right>
      <top style="thin">
        <color theme="1" tint="0.499984740745262"/>
      </top>
      <bottom style="thin">
        <color theme="1" tint="0.499984740745262"/>
      </bottom>
      <diagonal/>
    </border>
    <border>
      <left style="hair">
        <color rgb="FF808080"/>
      </left>
      <right style="hair">
        <color rgb="FF808080"/>
      </right>
      <top style="thin">
        <color theme="1" tint="0.499984740745262"/>
      </top>
      <bottom/>
      <diagonal/>
    </border>
    <border>
      <left style="hair">
        <color rgb="FF808080"/>
      </left>
      <right style="hair">
        <color rgb="FF808080"/>
      </right>
      <top style="thin">
        <color rgb="FF808080"/>
      </top>
      <bottom style="thin">
        <color rgb="FF808080"/>
      </bottom>
      <diagonal/>
    </border>
    <border>
      <left style="hair">
        <color rgb="FF808080"/>
      </left>
      <right style="hair">
        <color rgb="FF808080"/>
      </right>
      <top/>
      <bottom style="thin">
        <color theme="1" tint="0.499984740745262"/>
      </bottom>
      <diagonal/>
    </border>
    <border>
      <left style="thin">
        <color rgb="FF808080"/>
      </left>
      <right style="hair">
        <color rgb="FF808080"/>
      </right>
      <top/>
      <bottom style="thin">
        <color rgb="FF808080"/>
      </bottom>
      <diagonal/>
    </border>
    <border>
      <left/>
      <right style="hair">
        <color rgb="FF808080"/>
      </right>
      <top style="thin">
        <color theme="1" tint="0.499984740745262"/>
      </top>
      <bottom style="thin">
        <color theme="1" tint="0.499984740745262"/>
      </bottom>
      <diagonal/>
    </border>
    <border>
      <left/>
      <right style="hair">
        <color rgb="FF808080"/>
      </right>
      <top style="thin">
        <color theme="1" tint="0.499984740745262"/>
      </top>
      <bottom/>
      <diagonal/>
    </border>
    <border>
      <left/>
      <right style="thin">
        <color rgb="FF808080"/>
      </right>
      <top style="thin">
        <color indexed="64"/>
      </top>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rgb="FF808080"/>
      </left>
      <right style="hair">
        <color rgb="FF808080"/>
      </right>
      <top/>
      <bottom/>
      <diagonal/>
    </border>
    <border>
      <left style="thin">
        <color rgb="FF808080"/>
      </left>
      <right style="hair">
        <color rgb="FF808080"/>
      </right>
      <top style="thin">
        <color indexed="64"/>
      </top>
      <bottom/>
      <diagonal/>
    </border>
    <border>
      <left style="hair">
        <color rgb="FF808080"/>
      </left>
      <right style="hair">
        <color rgb="FF808080"/>
      </right>
      <top style="thin">
        <color rgb="FF808080"/>
      </top>
      <bottom/>
      <diagonal/>
    </border>
    <border>
      <left style="hair">
        <color rgb="FF808080"/>
      </left>
      <right style="hair">
        <color rgb="FF808080"/>
      </right>
      <top/>
      <bottom/>
      <diagonal/>
    </border>
    <border>
      <left style="hair">
        <color rgb="FF808080"/>
      </left>
      <right style="hair">
        <color rgb="FF808080"/>
      </right>
      <top/>
      <bottom style="thin">
        <color rgb="FF808080"/>
      </bottom>
      <diagonal/>
    </border>
    <border>
      <left style="hair">
        <color rgb="FF808080"/>
      </left>
      <right style="hair">
        <color rgb="FF808080"/>
      </right>
      <top style="thin">
        <color indexed="64"/>
      </top>
      <bottom/>
      <diagonal/>
    </border>
    <border>
      <left/>
      <right/>
      <top style="thin">
        <color rgb="FF808080"/>
      </top>
      <bottom/>
      <diagonal/>
    </border>
    <border>
      <left/>
      <right style="hair">
        <color rgb="FF808080"/>
      </right>
      <top/>
      <bottom style="thin">
        <color rgb="FF808080"/>
      </bottom>
      <diagonal/>
    </border>
    <border>
      <left/>
      <right style="hair">
        <color rgb="FF808080"/>
      </right>
      <top/>
      <bottom/>
      <diagonal/>
    </border>
    <border>
      <left/>
      <right style="hair">
        <color rgb="FF808080"/>
      </right>
      <top style="thin">
        <color rgb="FF808080"/>
      </top>
      <bottom/>
      <diagonal/>
    </border>
    <border>
      <left/>
      <right style="hair">
        <color rgb="FF808080"/>
      </right>
      <top style="thin">
        <color indexed="64"/>
      </top>
      <bottom/>
      <diagonal/>
    </border>
    <border>
      <left style="hair">
        <color indexed="64"/>
      </left>
      <right style="hair">
        <color rgb="FF808080"/>
      </right>
      <top style="thin">
        <color rgb="FF808080"/>
      </top>
      <bottom/>
      <diagonal/>
    </border>
    <border>
      <left/>
      <right style="hair">
        <color rgb="FF808080"/>
      </right>
      <top style="thin">
        <color rgb="FF808080"/>
      </top>
      <bottom style="thin">
        <color rgb="FF808080"/>
      </bottom>
      <diagonal/>
    </border>
    <border>
      <left style="thin">
        <color theme="1" tint="0.499984740745262"/>
      </left>
      <right style="hair">
        <color rgb="FF808080"/>
      </right>
      <top/>
      <bottom style="thick">
        <color theme="1" tint="0.499984740745262"/>
      </bottom>
      <diagonal/>
    </border>
    <border>
      <left style="hair">
        <color rgb="FF808080"/>
      </left>
      <right style="hair">
        <color rgb="FF808080"/>
      </right>
      <top/>
      <bottom style="thick">
        <color theme="1" tint="0.499984740745262"/>
      </bottom>
      <diagonal/>
    </border>
    <border>
      <left style="thin">
        <color rgb="FF808080"/>
      </left>
      <right style="thin">
        <color rgb="FF808080"/>
      </right>
      <top/>
      <bottom style="thick">
        <color rgb="FF808080"/>
      </bottom>
      <diagonal/>
    </border>
    <border>
      <left style="thin">
        <color theme="1" tint="0.499984740745262"/>
      </left>
      <right style="thin">
        <color rgb="FF808080"/>
      </right>
      <top style="thin">
        <color theme="1" tint="0.499984740745262"/>
      </top>
      <bottom style="thin">
        <color theme="1" tint="0.499984740745262"/>
      </bottom>
      <diagonal/>
    </border>
    <border>
      <left style="thin">
        <color rgb="FF808080"/>
      </left>
      <right style="hair">
        <color theme="1" tint="0.499984740745262"/>
      </right>
      <top style="thin">
        <color theme="1" tint="0.499984740745262"/>
      </top>
      <bottom style="thick">
        <color rgb="FF808080"/>
      </bottom>
      <diagonal/>
    </border>
    <border>
      <left style="thin">
        <color rgb="FF808080"/>
      </left>
      <right style="hair">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bottom style="thick">
        <color rgb="FF808080"/>
      </bottom>
      <diagonal/>
    </border>
    <border>
      <left/>
      <right style="hair">
        <color theme="1" tint="0.499984740745262"/>
      </right>
      <top style="thin">
        <color theme="1" tint="0.499984740745262"/>
      </top>
      <bottom style="thick">
        <color theme="1" tint="0.499984740745262"/>
      </bottom>
      <diagonal/>
    </border>
    <border>
      <left style="hair">
        <color theme="1" tint="0.499984740745262"/>
      </left>
      <right style="hair">
        <color theme="1" tint="0.499984740745262"/>
      </right>
      <top style="thin">
        <color theme="1" tint="0.499984740745262"/>
      </top>
      <bottom style="thick">
        <color theme="1" tint="0.499984740745262"/>
      </bottom>
      <diagonal/>
    </border>
    <border>
      <left style="thin">
        <color theme="1" tint="0.499984740745262"/>
      </left>
      <right style="hair">
        <color indexed="8"/>
      </right>
      <top style="thin">
        <color theme="1" tint="0.499984740745262"/>
      </top>
      <bottom/>
      <diagonal/>
    </border>
    <border>
      <left style="thin">
        <color rgb="FF808080"/>
      </left>
      <right style="hair">
        <color rgb="FF808080"/>
      </right>
      <top style="thin">
        <color theme="1" tint="0.499984740745262"/>
      </top>
      <bottom/>
      <diagonal/>
    </border>
    <border>
      <left/>
      <right/>
      <top style="thick">
        <color indexed="23"/>
      </top>
      <bottom/>
      <diagonal/>
    </border>
    <border>
      <left/>
      <right style="thin">
        <color rgb="FF808080"/>
      </right>
      <top/>
      <bottom style="thin">
        <color theme="1" tint="0.499984740745262"/>
      </bottom>
      <diagonal/>
    </border>
    <border>
      <left style="hair">
        <color indexed="64"/>
      </left>
      <right style="hair">
        <color indexed="64"/>
      </right>
      <top style="hair">
        <color indexed="64"/>
      </top>
      <bottom style="hair">
        <color theme="1" tint="0.34998626667073579"/>
      </bottom>
      <diagonal/>
    </border>
    <border>
      <left style="hair">
        <color rgb="FF808080"/>
      </left>
      <right style="thin">
        <color theme="1" tint="0.499984740745262"/>
      </right>
      <top style="thin">
        <color rgb="FF808080"/>
      </top>
      <bottom/>
      <diagonal/>
    </border>
    <border>
      <left style="hair">
        <color rgb="FF808080"/>
      </left>
      <right style="thin">
        <color theme="1" tint="0.499984740745262"/>
      </right>
      <top/>
      <bottom/>
      <diagonal/>
    </border>
    <border>
      <left style="hair">
        <color rgb="FF808080"/>
      </left>
      <right style="thin">
        <color theme="1" tint="0.499984740745262"/>
      </right>
      <top/>
      <bottom style="thin">
        <color rgb="FF808080"/>
      </bottom>
      <diagonal/>
    </border>
    <border>
      <left style="hair">
        <color rgb="FF808080"/>
      </left>
      <right style="hair">
        <color theme="1" tint="0.499984740745262"/>
      </right>
      <top/>
      <bottom/>
      <diagonal/>
    </border>
    <border>
      <left style="thin">
        <color theme="1" tint="0.499984740745262"/>
      </left>
      <right style="hair">
        <color rgb="FF808080"/>
      </right>
      <top/>
      <bottom/>
      <diagonal/>
    </border>
    <border>
      <left/>
      <right/>
      <top/>
      <bottom style="thick">
        <color rgb="FF808080"/>
      </bottom>
      <diagonal/>
    </border>
    <border>
      <left/>
      <right style="hair">
        <color rgb="FF808080"/>
      </right>
      <top/>
      <bottom style="thin">
        <color theme="1" tint="0.499984740745262"/>
      </bottom>
      <diagonal/>
    </border>
    <border>
      <left/>
      <right style="thin">
        <color theme="1" tint="0.499984740745262"/>
      </right>
      <top style="thin">
        <color theme="1" tint="0.499984740745262"/>
      </top>
      <bottom style="thin">
        <color rgb="FF808080"/>
      </bottom>
      <diagonal/>
    </border>
    <border>
      <left style="thin">
        <color theme="1" tint="0.499984740745262"/>
      </left>
      <right style="thin">
        <color theme="1" tint="0.499984740745262"/>
      </right>
      <top/>
      <bottom style="medium">
        <color rgb="FF808080"/>
      </bottom>
      <diagonal/>
    </border>
    <border>
      <left style="thin">
        <color theme="1" tint="0.499984740745262"/>
      </left>
      <right style="hair">
        <color rgb="FF808080"/>
      </right>
      <top/>
      <bottom style="medium">
        <color rgb="FF808080"/>
      </bottom>
      <diagonal/>
    </border>
    <border>
      <left/>
      <right style="hair">
        <color theme="1" tint="0.499984740745262"/>
      </right>
      <top/>
      <bottom style="medium">
        <color rgb="FF808080"/>
      </bottom>
      <diagonal/>
    </border>
    <border>
      <left/>
      <right/>
      <top/>
      <bottom style="medium">
        <color rgb="FF808080"/>
      </bottom>
      <diagonal/>
    </border>
    <border>
      <left style="thin">
        <color theme="1" tint="0.499984740745262"/>
      </left>
      <right style="thin">
        <color theme="1" tint="0.499984740745262"/>
      </right>
      <top style="medium">
        <color rgb="FF808080"/>
      </top>
      <bottom style="medium">
        <color rgb="FF808080"/>
      </bottom>
      <diagonal/>
    </border>
    <border>
      <left style="thin">
        <color theme="1" tint="0.499984740745262"/>
      </left>
      <right style="hair">
        <color rgb="FF808080"/>
      </right>
      <top style="medium">
        <color rgb="FF808080"/>
      </top>
      <bottom style="medium">
        <color rgb="FF808080"/>
      </bottom>
      <diagonal/>
    </border>
    <border>
      <left/>
      <right style="hair">
        <color theme="1" tint="0.499984740745262"/>
      </right>
      <top style="medium">
        <color rgb="FF808080"/>
      </top>
      <bottom style="medium">
        <color rgb="FF808080"/>
      </bottom>
      <diagonal/>
    </border>
    <border>
      <left style="thin">
        <color theme="1" tint="0.499984740745262"/>
      </left>
      <right/>
      <top style="medium">
        <color rgb="FF808080"/>
      </top>
      <bottom style="medium">
        <color rgb="FF808080"/>
      </bottom>
      <diagonal/>
    </border>
    <border>
      <left style="thin">
        <color theme="1" tint="0.499984740745262"/>
      </left>
      <right style="hair">
        <color indexed="64"/>
      </right>
      <top/>
      <bottom style="medium">
        <color rgb="FF808080"/>
      </bottom>
      <diagonal/>
    </border>
    <border>
      <left style="hair">
        <color indexed="64"/>
      </left>
      <right style="hair">
        <color indexed="64"/>
      </right>
      <top/>
      <bottom style="medium">
        <color rgb="FF808080"/>
      </bottom>
      <diagonal/>
    </border>
    <border>
      <left style="hair">
        <color indexed="64"/>
      </left>
      <right style="thin">
        <color theme="1" tint="0.499984740745262"/>
      </right>
      <top/>
      <bottom style="medium">
        <color rgb="FF808080"/>
      </bottom>
      <diagonal/>
    </border>
    <border>
      <left style="thin">
        <color theme="1" tint="0.499984740745262"/>
      </left>
      <right/>
      <top/>
      <bottom style="medium">
        <color rgb="FF808080"/>
      </bottom>
      <diagonal/>
    </border>
    <border>
      <left/>
      <right style="thin">
        <color theme="1" tint="0.499984740745262"/>
      </right>
      <top/>
      <bottom style="medium">
        <color rgb="FF808080"/>
      </bottom>
      <diagonal/>
    </border>
    <border>
      <left/>
      <right style="hair">
        <color indexed="64"/>
      </right>
      <top/>
      <bottom style="medium">
        <color rgb="FF808080"/>
      </bottom>
      <diagonal/>
    </border>
    <border>
      <left style="thin">
        <color theme="1" tint="0.499984740745262"/>
      </left>
      <right style="hair">
        <color indexed="8"/>
      </right>
      <top style="thin">
        <color indexed="8"/>
      </top>
      <bottom style="medium">
        <color rgb="FF808080"/>
      </bottom>
      <diagonal/>
    </border>
    <border>
      <left style="hair">
        <color indexed="8"/>
      </left>
      <right style="hair">
        <color indexed="8"/>
      </right>
      <top style="thin">
        <color indexed="8"/>
      </top>
      <bottom style="medium">
        <color rgb="FF808080"/>
      </bottom>
      <diagonal/>
    </border>
    <border>
      <left style="hair">
        <color indexed="8"/>
      </left>
      <right style="thin">
        <color theme="1" tint="0.499984740745262"/>
      </right>
      <top style="thin">
        <color indexed="8"/>
      </top>
      <bottom style="medium">
        <color rgb="FF808080"/>
      </bottom>
      <diagonal/>
    </border>
    <border>
      <left/>
      <right style="hair">
        <color indexed="8"/>
      </right>
      <top style="thin">
        <color theme="1" tint="0.499984740745262"/>
      </top>
      <bottom style="medium">
        <color rgb="FF808080"/>
      </bottom>
      <diagonal/>
    </border>
    <border>
      <left/>
      <right style="hair">
        <color indexed="8"/>
      </right>
      <top style="thin">
        <color indexed="8"/>
      </top>
      <bottom style="medium">
        <color rgb="FF808080"/>
      </bottom>
      <diagonal/>
    </border>
    <border>
      <left style="thin">
        <color rgb="FF808080"/>
      </left>
      <right/>
      <top style="thin">
        <color rgb="FF808080"/>
      </top>
      <bottom/>
      <diagonal/>
    </border>
    <border>
      <left style="thin">
        <color rgb="FF808080"/>
      </left>
      <right/>
      <top/>
      <bottom style="thin">
        <color rgb="FF808080"/>
      </bottom>
      <diagonal/>
    </border>
    <border>
      <left style="thin">
        <color rgb="FF808080"/>
      </left>
      <right style="hair">
        <color rgb="FF808080"/>
      </right>
      <top/>
      <bottom style="thin">
        <color theme="1" tint="0.499984740745262"/>
      </bottom>
      <diagonal/>
    </border>
    <border>
      <left/>
      <right/>
      <top style="thick">
        <color rgb="FF808080"/>
      </top>
      <bottom/>
      <diagonal/>
    </border>
    <border>
      <left/>
      <right style="thick">
        <color rgb="FF808080"/>
      </right>
      <top/>
      <bottom/>
      <diagonal/>
    </border>
    <border>
      <left/>
      <right style="thick">
        <color rgb="FF808080"/>
      </right>
      <top/>
      <bottom style="thick">
        <color rgb="FF808080"/>
      </bottom>
      <diagonal/>
    </border>
    <border>
      <left/>
      <right style="medium">
        <color rgb="FF808080"/>
      </right>
      <top/>
      <bottom style="medium">
        <color rgb="FF808080"/>
      </bottom>
      <diagonal/>
    </border>
    <border>
      <left/>
      <right style="thick">
        <color rgb="FF808080"/>
      </right>
      <top style="thick">
        <color indexed="23"/>
      </top>
      <bottom/>
      <diagonal/>
    </border>
    <border>
      <left style="thin">
        <color rgb="FF808080"/>
      </left>
      <right/>
      <top style="thick">
        <color indexed="23"/>
      </top>
      <bottom/>
      <diagonal/>
    </border>
    <border>
      <left style="thin">
        <color rgb="FF808080"/>
      </left>
      <right/>
      <top/>
      <bottom style="thick">
        <color rgb="FF808080"/>
      </bottom>
      <diagonal/>
    </border>
    <border>
      <left/>
      <right style="thick">
        <color rgb="FF808080"/>
      </right>
      <top style="thin">
        <color indexed="23"/>
      </top>
      <bottom style="thick">
        <color indexed="23"/>
      </bottom>
      <diagonal/>
    </border>
    <border>
      <left style="thin">
        <color rgb="FF808080"/>
      </left>
      <right style="medium">
        <color rgb="FF808080"/>
      </right>
      <top style="thin">
        <color rgb="FF808080"/>
      </top>
      <bottom style="medium">
        <color rgb="FF808080"/>
      </bottom>
      <diagonal/>
    </border>
    <border>
      <left style="medium">
        <color rgb="FF808080"/>
      </left>
      <right style="medium">
        <color rgb="FF808080"/>
      </right>
      <top style="thin">
        <color rgb="FF808080"/>
      </top>
      <bottom style="medium">
        <color rgb="FF808080"/>
      </bottom>
      <diagonal/>
    </border>
    <border>
      <left style="thin">
        <color rgb="FF808080"/>
      </left>
      <right style="thick">
        <color rgb="FF808080"/>
      </right>
      <top style="thin">
        <color rgb="FF808080"/>
      </top>
      <bottom style="thin">
        <color rgb="FF808080"/>
      </bottom>
      <diagonal/>
    </border>
    <border>
      <left style="thin">
        <color rgb="FF808080"/>
      </left>
      <right style="thick">
        <color rgb="FF808080"/>
      </right>
      <top/>
      <bottom style="thin">
        <color rgb="FF808080"/>
      </bottom>
      <diagonal/>
    </border>
    <border>
      <left style="thin">
        <color rgb="FF808080"/>
      </left>
      <right style="thick">
        <color rgb="FF808080"/>
      </right>
      <top style="thin">
        <color rgb="FF808080"/>
      </top>
      <bottom/>
      <diagonal/>
    </border>
    <border>
      <left style="medium">
        <color rgb="FF808080"/>
      </left>
      <right style="thick">
        <color rgb="FF808080"/>
      </right>
      <top style="thin">
        <color rgb="FF808080"/>
      </top>
      <bottom style="medium">
        <color rgb="FF808080"/>
      </bottom>
      <diagonal/>
    </border>
    <border>
      <left style="thin">
        <color rgb="FF808080"/>
      </left>
      <right style="medium">
        <color rgb="FF808080"/>
      </right>
      <top style="medium">
        <color rgb="FF808080"/>
      </top>
      <bottom style="thick">
        <color rgb="FF808080"/>
      </bottom>
      <diagonal/>
    </border>
    <border>
      <left style="medium">
        <color rgb="FF808080"/>
      </left>
      <right style="medium">
        <color rgb="FF808080"/>
      </right>
      <top style="medium">
        <color rgb="FF808080"/>
      </top>
      <bottom style="thick">
        <color rgb="FF808080"/>
      </bottom>
      <diagonal/>
    </border>
    <border>
      <left style="medium">
        <color rgb="FF808080"/>
      </left>
      <right style="thick">
        <color rgb="FF808080"/>
      </right>
      <top style="medium">
        <color rgb="FF808080"/>
      </top>
      <bottom style="thick">
        <color rgb="FF808080"/>
      </bottom>
      <diagonal/>
    </border>
    <border>
      <left style="thin">
        <color rgb="FF808080"/>
      </left>
      <right style="medium">
        <color rgb="FF808080"/>
      </right>
      <top style="thin">
        <color rgb="FF808080"/>
      </top>
      <bottom style="thick">
        <color rgb="FF808080"/>
      </bottom>
      <diagonal/>
    </border>
    <border>
      <left style="medium">
        <color rgb="FF808080"/>
      </left>
      <right style="medium">
        <color rgb="FF808080"/>
      </right>
      <top style="thin">
        <color rgb="FF808080"/>
      </top>
      <bottom style="thick">
        <color rgb="FF808080"/>
      </bottom>
      <diagonal/>
    </border>
    <border>
      <left style="medium">
        <color rgb="FF808080"/>
      </left>
      <right style="thick">
        <color rgb="FF808080"/>
      </right>
      <top style="thin">
        <color rgb="FF808080"/>
      </top>
      <bottom style="thick">
        <color rgb="FF808080"/>
      </bottom>
      <diagonal/>
    </border>
    <border>
      <left style="thin">
        <color rgb="FF808080"/>
      </left>
      <right style="thin">
        <color rgb="FF808080"/>
      </right>
      <top style="thin">
        <color rgb="FF808080"/>
      </top>
      <bottom style="thick">
        <color rgb="FF808080"/>
      </bottom>
      <diagonal/>
    </border>
    <border>
      <left style="thin">
        <color rgb="FF808080"/>
      </left>
      <right/>
      <top style="thin">
        <color rgb="FF808080"/>
      </top>
      <bottom style="thick">
        <color rgb="FF808080"/>
      </bottom>
      <diagonal/>
    </border>
    <border>
      <left/>
      <right/>
      <top style="thin">
        <color rgb="FF808080"/>
      </top>
      <bottom style="thick">
        <color rgb="FF808080"/>
      </bottom>
      <diagonal/>
    </border>
    <border>
      <left/>
      <right style="thick">
        <color rgb="FF808080"/>
      </right>
      <top style="thin">
        <color rgb="FF808080"/>
      </top>
      <bottom style="thick">
        <color rgb="FF808080"/>
      </bottom>
      <diagonal/>
    </border>
    <border>
      <left style="hair">
        <color rgb="FF808080"/>
      </left>
      <right/>
      <top/>
      <bottom/>
      <diagonal/>
    </border>
    <border>
      <left style="hair">
        <color rgb="FF808080"/>
      </left>
      <right/>
      <top/>
      <bottom style="hair">
        <color rgb="FF808080"/>
      </bottom>
      <diagonal/>
    </border>
    <border>
      <left/>
      <right/>
      <top/>
      <bottom style="hair">
        <color rgb="FF808080"/>
      </bottom>
      <diagonal/>
    </border>
    <border>
      <left/>
      <right style="hair">
        <color rgb="FF808080"/>
      </right>
      <top/>
      <bottom style="hair">
        <color rgb="FF808080"/>
      </bottom>
      <diagonal/>
    </border>
    <border>
      <left style="hair">
        <color rgb="FF808080"/>
      </left>
      <right style="hair">
        <color rgb="FF808080"/>
      </right>
      <top/>
      <bottom style="hair">
        <color rgb="FF808080"/>
      </bottom>
      <diagonal/>
    </border>
    <border>
      <left style="thin">
        <color rgb="FF808080"/>
      </left>
      <right/>
      <top/>
      <bottom style="hair">
        <color rgb="FF808080"/>
      </bottom>
      <diagonal/>
    </border>
    <border>
      <left style="hair">
        <color rgb="FF808080"/>
      </left>
      <right/>
      <top style="hair">
        <color rgb="FF808080"/>
      </top>
      <bottom style="thin">
        <color rgb="FF808080"/>
      </bottom>
      <diagonal/>
    </border>
    <border>
      <left/>
      <right/>
      <top style="hair">
        <color rgb="FF808080"/>
      </top>
      <bottom style="thin">
        <color rgb="FF808080"/>
      </bottom>
      <diagonal/>
    </border>
    <border>
      <left/>
      <right/>
      <top style="thick">
        <color rgb="FF808080"/>
      </top>
      <bottom style="thin">
        <color rgb="FF808080"/>
      </bottom>
      <diagonal/>
    </border>
    <border>
      <left style="hair">
        <color rgb="FF808080"/>
      </left>
      <right/>
      <top style="hair">
        <color rgb="FF808080"/>
      </top>
      <bottom/>
      <diagonal/>
    </border>
    <border>
      <left/>
      <right style="thick">
        <color rgb="FF808080"/>
      </right>
      <top style="thin">
        <color theme="1" tint="0.499984740745262"/>
      </top>
      <bottom style="thick">
        <color rgb="FF808080"/>
      </bottom>
      <diagonal/>
    </border>
    <border>
      <left/>
      <right/>
      <top style="thick">
        <color theme="1" tint="0.499984740745262"/>
      </top>
      <bottom/>
      <diagonal/>
    </border>
    <border>
      <left style="hair">
        <color theme="1" tint="0.499984740745262"/>
      </left>
      <right style="thin">
        <color rgb="FF808080"/>
      </right>
      <top style="thin">
        <color theme="1" tint="0.499984740745262"/>
      </top>
      <bottom/>
      <diagonal/>
    </border>
    <border>
      <left style="hair">
        <color theme="1" tint="0.499984740745262"/>
      </left>
      <right style="thin">
        <color rgb="FF808080"/>
      </right>
      <top/>
      <bottom style="thick">
        <color theme="1" tint="0.499984740745262"/>
      </bottom>
      <diagonal/>
    </border>
    <border>
      <left style="hair">
        <color theme="1" tint="0.499984740745262"/>
      </left>
      <right style="thin">
        <color rgb="FF808080"/>
      </right>
      <top style="thin">
        <color theme="1" tint="0.499984740745262"/>
      </top>
      <bottom style="thin">
        <color theme="1" tint="0.499984740745262"/>
      </bottom>
      <diagonal/>
    </border>
    <border>
      <left/>
      <right style="thick">
        <color theme="1" tint="0.499984740745262"/>
      </right>
      <top/>
      <bottom style="thick">
        <color theme="1" tint="0.499984740745262"/>
      </bottom>
      <diagonal/>
    </border>
    <border>
      <left/>
      <right/>
      <top/>
      <bottom style="thick">
        <color theme="1" tint="0.499984740745262"/>
      </bottom>
      <diagonal/>
    </border>
    <border>
      <left style="thin">
        <color theme="1" tint="0.499984740745262"/>
      </left>
      <right/>
      <top style="thin">
        <color theme="1" tint="0.499984740745262"/>
      </top>
      <bottom style="thick">
        <color rgb="FF808080"/>
      </bottom>
      <diagonal/>
    </border>
    <border>
      <left style="thin">
        <color theme="1" tint="0.499984740745262"/>
      </left>
      <right style="hair">
        <color theme="1" tint="0.499984740745262"/>
      </right>
      <top/>
      <bottom/>
      <diagonal/>
    </border>
    <border>
      <left style="thin">
        <color theme="1" tint="0.499984740745262"/>
      </left>
      <right style="hair">
        <color theme="1" tint="0.499984740745262"/>
      </right>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style="thin">
        <color theme="1" tint="0.499984740745262"/>
      </left>
      <right/>
      <top/>
      <bottom style="thick">
        <color theme="1" tint="0.499984740745262"/>
      </bottom>
      <diagonal/>
    </border>
    <border>
      <left/>
      <right style="thick">
        <color theme="1" tint="0.499984740745262"/>
      </right>
      <top style="thin">
        <color theme="1" tint="0.499984740745262"/>
      </top>
      <bottom style="thick">
        <color theme="1" tint="0.499984740745262"/>
      </bottom>
      <diagonal/>
    </border>
    <border>
      <left style="hair">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rgb="FF808080"/>
      </top>
      <bottom/>
      <diagonal/>
    </border>
    <border>
      <left/>
      <right style="thin">
        <color theme="1" tint="0.499984740745262"/>
      </right>
      <top/>
      <bottom style="thin">
        <color rgb="FF808080"/>
      </bottom>
      <diagonal/>
    </border>
    <border>
      <left/>
      <right style="thin">
        <color theme="1" tint="0.499984740745262"/>
      </right>
      <top style="thin">
        <color indexed="64"/>
      </top>
      <bottom/>
      <diagonal/>
    </border>
    <border>
      <left/>
      <right style="thin">
        <color theme="1" tint="0.499984740745262"/>
      </right>
      <top style="thin">
        <color rgb="FF808080"/>
      </top>
      <bottom style="thin">
        <color rgb="FF808080"/>
      </bottom>
      <diagonal/>
    </border>
    <border>
      <left style="hair">
        <color theme="1" tint="0.499984740745262"/>
      </left>
      <right style="thin">
        <color theme="1" tint="0.499984740745262"/>
      </right>
      <top/>
      <bottom style="hair">
        <color theme="1" tint="0.499984740745262"/>
      </bottom>
      <diagonal/>
    </border>
    <border>
      <left style="hair">
        <color rgb="FF808080"/>
      </left>
      <right style="hair">
        <color rgb="FF808080"/>
      </right>
      <top style="thin">
        <color rgb="FF808080"/>
      </top>
      <bottom style="thin">
        <color theme="1" tint="0.499984740745262"/>
      </bottom>
      <diagonal/>
    </border>
    <border>
      <left style="hair">
        <color theme="1" tint="0.499984740745262"/>
      </left>
      <right style="thin">
        <color theme="1" tint="0.499984740745262"/>
      </right>
      <top style="hair">
        <color theme="1" tint="0.499984740745262"/>
      </top>
      <bottom style="thin">
        <color theme="1" tint="0.499984740745262"/>
      </bottom>
      <diagonal/>
    </border>
    <border>
      <left/>
      <right style="thin">
        <color theme="1" tint="0.499984740745262"/>
      </right>
      <top style="hair">
        <color rgb="FF808080"/>
      </top>
      <bottom style="thin">
        <color rgb="FF808080"/>
      </bottom>
      <diagonal/>
    </border>
    <border>
      <left style="hair">
        <color rgb="FF808080"/>
      </left>
      <right style="hair">
        <color theme="1" tint="0.499984740745262"/>
      </right>
      <top style="thin">
        <color theme="1" tint="0.499984740745262"/>
      </top>
      <bottom/>
      <diagonal/>
    </border>
    <border>
      <left/>
      <right style="hair">
        <color theme="1" tint="0.499984740745262"/>
      </right>
      <top style="hair">
        <color rgb="FF808080"/>
      </top>
      <bottom style="thin">
        <color theme="1" tint="0.499984740745262"/>
      </bottom>
      <diagonal/>
    </border>
    <border>
      <left style="hair">
        <color rgb="FF808080"/>
      </left>
      <right style="hair">
        <color theme="1" tint="0.499984740745262"/>
      </right>
      <top/>
      <bottom style="hair">
        <color rgb="FF808080"/>
      </bottom>
      <diagonal/>
    </border>
    <border>
      <left/>
      <right style="hair">
        <color theme="1" tint="0.499984740745262"/>
      </right>
      <top style="hair">
        <color rgb="FF808080"/>
      </top>
      <bottom style="thin">
        <color rgb="FF808080"/>
      </bottom>
      <diagonal/>
    </border>
    <border>
      <left style="thin">
        <color rgb="FF808080"/>
      </left>
      <right style="hair">
        <color theme="1" tint="0.499984740745262"/>
      </right>
      <top/>
      <bottom style="thin">
        <color rgb="FF808080"/>
      </bottom>
      <diagonal/>
    </border>
    <border>
      <left/>
      <right style="thin">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right style="hair">
        <color theme="1" tint="0.499984740745262"/>
      </right>
      <top/>
      <bottom style="hair">
        <color theme="1" tint="0.499984740745262"/>
      </bottom>
      <diagonal/>
    </border>
    <border>
      <left/>
      <right style="hair">
        <color theme="1" tint="0.499984740745262"/>
      </right>
      <top style="thin">
        <color rgb="FF808080"/>
      </top>
      <bottom style="thin">
        <color rgb="FF808080"/>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style="thin">
        <color theme="1" tint="0.499984740745262"/>
      </right>
      <top style="hair">
        <color theme="1" tint="0.499984740745262"/>
      </top>
      <bottom style="hair">
        <color theme="1" tint="0.499984740745262"/>
      </bottom>
      <diagonal/>
    </border>
    <border>
      <left/>
      <right style="thick">
        <color theme="1" tint="0.499984740745262"/>
      </right>
      <top/>
      <bottom/>
      <diagonal/>
    </border>
    <border>
      <left style="thick">
        <color theme="1" tint="0.499984740745262"/>
      </left>
      <right/>
      <top/>
      <bottom/>
      <diagonal/>
    </border>
    <border>
      <left/>
      <right/>
      <top style="thin">
        <color theme="1" tint="0.499984740745262"/>
      </top>
      <bottom style="thick">
        <color theme="1" tint="0.499984740745262"/>
      </bottom>
      <diagonal/>
    </border>
    <border>
      <left style="hair">
        <color theme="1" tint="0.499984740745262"/>
      </left>
      <right style="thin">
        <color theme="1" tint="0.499984740745262"/>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thin">
        <color theme="1" tint="0.499984740745262"/>
      </bottom>
      <diagonal/>
    </border>
    <border>
      <left style="thin">
        <color theme="1" tint="0.499984740745262"/>
      </left>
      <right style="hair">
        <color theme="1" tint="0.499984740745262"/>
      </right>
      <top style="hair">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hair">
        <color theme="1" tint="0.499984740745262"/>
      </bottom>
      <diagonal/>
    </border>
    <border>
      <left style="thin">
        <color theme="1" tint="0.499984740745262"/>
      </left>
      <right/>
      <top style="thin">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right style="hair">
        <color theme="1" tint="0.499984740745262"/>
      </right>
      <top style="thin">
        <color theme="1" tint="0.499984740745262"/>
      </top>
      <bottom style="hair">
        <color theme="1" tint="0.499984740745262"/>
      </bottom>
      <diagonal/>
    </border>
    <border>
      <left style="hair">
        <color theme="1" tint="0.499984740745262"/>
      </left>
      <right style="hair">
        <color theme="1" tint="0.499984740745262"/>
      </right>
      <top style="thin">
        <color theme="1" tint="0.499984740745262"/>
      </top>
      <bottom style="hair">
        <color theme="1" tint="0.499984740745262"/>
      </bottom>
      <diagonal/>
    </border>
    <border>
      <left style="thin">
        <color theme="1" tint="0.499984740745262"/>
      </left>
      <right style="thin">
        <color theme="1" tint="0.499984740745262"/>
      </right>
      <top style="hair">
        <color theme="1" tint="0.499984740745262"/>
      </top>
      <bottom style="hair">
        <color theme="1" tint="0.499984740745262"/>
      </bottom>
      <diagonal/>
    </border>
    <border>
      <left style="thin">
        <color theme="1" tint="0.499984740745262"/>
      </left>
      <right style="thin">
        <color theme="1" tint="0.499984740745262"/>
      </right>
      <top style="hair">
        <color theme="1" tint="0.499984740745262"/>
      </top>
      <bottom style="thin">
        <color theme="1" tint="0.499984740745262"/>
      </bottom>
      <diagonal/>
    </border>
    <border>
      <left/>
      <right style="thick">
        <color theme="1" tint="0.499984740745262"/>
      </right>
      <top/>
      <bottom style="thick">
        <color rgb="FF808080"/>
      </bottom>
      <diagonal/>
    </border>
    <border>
      <left style="hair">
        <color theme="1" tint="0.499984740745262"/>
      </left>
      <right style="thin">
        <color theme="1" tint="0.499984740745262"/>
      </right>
      <top/>
      <bottom/>
      <diagonal/>
    </border>
    <border>
      <left style="thin">
        <color theme="1" tint="0.499984740745262"/>
      </left>
      <right/>
      <top style="hair">
        <color theme="1" tint="0.499984740745262"/>
      </top>
      <bottom style="hair">
        <color theme="1" tint="0.499984740745262"/>
      </bottom>
      <diagonal/>
    </border>
    <border>
      <left style="thin">
        <color theme="1" tint="0.499984740745262"/>
      </left>
      <right style="hair">
        <color theme="1" tint="0.499984740745262"/>
      </right>
      <top style="thin">
        <color theme="1" tint="0.499984740745262"/>
      </top>
      <bottom style="hair">
        <color theme="1" tint="0.499984740745262"/>
      </bottom>
      <diagonal/>
    </border>
    <border>
      <left style="hair">
        <color theme="1" tint="0.499984740745262"/>
      </left>
      <right style="thin">
        <color theme="1" tint="0.499984740745262"/>
      </right>
      <top style="thin">
        <color theme="1" tint="0.499984740745262"/>
      </top>
      <bottom style="hair">
        <color theme="1" tint="0.499984740745262"/>
      </bottom>
      <diagonal/>
    </border>
    <border>
      <left style="thin">
        <color theme="1" tint="0.499984740745262"/>
      </left>
      <right style="hair">
        <color theme="1" tint="0.499984740745262"/>
      </right>
      <top style="hair">
        <color theme="1" tint="0.499984740745262"/>
      </top>
      <bottom style="hair">
        <color theme="1" tint="0.499984740745262"/>
      </bottom>
      <diagonal/>
    </border>
    <border>
      <left style="thin">
        <color theme="1" tint="0.499984740745262"/>
      </left>
      <right style="hair">
        <color theme="1" tint="0.499984740745262"/>
      </right>
      <top style="thin">
        <color rgb="FF808080"/>
      </top>
      <bottom style="thin">
        <color theme="1" tint="0.499984740745262"/>
      </bottom>
      <diagonal/>
    </border>
    <border>
      <left/>
      <right style="hair">
        <color theme="1" tint="0.499984740745262"/>
      </right>
      <top style="thin">
        <color rgb="FF808080"/>
      </top>
      <bottom style="thin">
        <color theme="1" tint="0.499984740745262"/>
      </bottom>
      <diagonal/>
    </border>
    <border>
      <left/>
      <right style="thin">
        <color rgb="FF808080"/>
      </right>
      <top style="thin">
        <color rgb="FF808080"/>
      </top>
      <bottom style="thin">
        <color theme="1" tint="0.499984740745262"/>
      </bottom>
      <diagonal/>
    </border>
    <border>
      <left style="hair">
        <color theme="1" tint="0.499984740745262"/>
      </left>
      <right style="hair">
        <color theme="1" tint="0.499984740745262"/>
      </right>
      <top style="thin">
        <color rgb="FF808080"/>
      </top>
      <bottom style="thin">
        <color theme="1" tint="0.499984740745262"/>
      </bottom>
      <diagonal/>
    </border>
    <border>
      <left style="thin">
        <color theme="1" tint="0.499984740745262"/>
      </left>
      <right style="hair">
        <color theme="1" tint="0.499984740745262"/>
      </right>
      <top style="hair">
        <color theme="1" tint="0.499984740745262"/>
      </top>
      <bottom/>
      <diagonal/>
    </border>
    <border>
      <left style="thin">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theme="1" tint="0.499984740745262"/>
      </left>
      <right style="hair">
        <color theme="1" tint="0.499984740745262"/>
      </right>
      <top style="thin">
        <color rgb="FF808080"/>
      </top>
      <bottom/>
      <diagonal/>
    </border>
    <border>
      <left/>
      <right style="hair">
        <color theme="1" tint="0.499984740745262"/>
      </right>
      <top style="thin">
        <color rgb="FF808080"/>
      </top>
      <bottom/>
      <diagonal/>
    </border>
    <border>
      <left/>
      <right style="hair">
        <color theme="1" tint="0.499984740745262"/>
      </right>
      <top style="hair">
        <color theme="1" tint="0.499984740745262"/>
      </top>
      <bottom style="thin">
        <color theme="1" tint="0.499984740745262"/>
      </bottom>
      <diagonal/>
    </border>
    <border>
      <left style="thin">
        <color theme="1" tint="0.499984740745262"/>
      </left>
      <right style="thin">
        <color theme="1" tint="0.499984740745262"/>
      </right>
      <top/>
      <bottom style="hair">
        <color theme="1" tint="0.499984740745262"/>
      </bottom>
      <diagonal/>
    </border>
    <border>
      <left style="thick">
        <color theme="1" tint="0.499984740745262"/>
      </left>
      <right/>
      <top style="thin">
        <color theme="1" tint="0.499984740745262"/>
      </top>
      <bottom style="thick">
        <color theme="1" tint="0.499984740745262"/>
      </bottom>
      <diagonal/>
    </border>
    <border>
      <left style="thick">
        <color theme="1" tint="0.499984740745262"/>
      </left>
      <right style="thin">
        <color theme="1" tint="0.499984740745262"/>
      </right>
      <top/>
      <bottom/>
      <diagonal/>
    </border>
    <border>
      <left style="thin">
        <color theme="1" tint="0.499984740745262"/>
      </left>
      <right style="hair">
        <color rgb="FF808080"/>
      </right>
      <top style="thin">
        <color rgb="FF808080"/>
      </top>
      <bottom style="thin">
        <color theme="1" tint="0.499984740745262"/>
      </bottom>
      <diagonal/>
    </border>
    <border>
      <left/>
      <right style="thin">
        <color rgb="FF808080"/>
      </right>
      <top/>
      <bottom style="thick">
        <color theme="1" tint="0.499984740745262"/>
      </bottom>
      <diagonal/>
    </border>
    <border>
      <left style="hair">
        <color rgb="FF808080"/>
      </left>
      <right style="hair">
        <color theme="1" tint="0.499984740745262"/>
      </right>
      <top style="thin">
        <color rgb="FF808080"/>
      </top>
      <bottom style="thin">
        <color theme="1" tint="0.499984740745262"/>
      </bottom>
      <diagonal/>
    </border>
    <border>
      <left style="hair">
        <color rgb="FF808080"/>
      </left>
      <right style="hair">
        <color theme="1" tint="0.499984740745262"/>
      </right>
      <top/>
      <bottom style="thick">
        <color theme="1" tint="0.499984740745262"/>
      </bottom>
      <diagonal/>
    </border>
    <border>
      <left style="thin">
        <color rgb="FF808080"/>
      </left>
      <right style="hair">
        <color rgb="FF808080"/>
      </right>
      <top style="thin">
        <color theme="1" tint="0.499984740745262"/>
      </top>
      <bottom style="thin">
        <color theme="1" tint="0.499984740745262"/>
      </bottom>
      <diagonal/>
    </border>
    <border>
      <left style="hair">
        <color rgb="FF808080"/>
      </left>
      <right style="hair">
        <color theme="1" tint="0.499984740745262"/>
      </right>
      <top style="thin">
        <color theme="1" tint="0.499984740745262"/>
      </top>
      <bottom style="thin">
        <color theme="1" tint="0.499984740745262"/>
      </bottom>
      <diagonal/>
    </border>
    <border>
      <left/>
      <right/>
      <top style="thick">
        <color rgb="FF808080"/>
      </top>
      <bottom style="thin">
        <color theme="1" tint="0.499984740745262"/>
      </bottom>
      <diagonal/>
    </border>
    <border>
      <left style="thin">
        <color indexed="64"/>
      </left>
      <right/>
      <top style="thin">
        <color indexed="64"/>
      </top>
      <bottom style="thin">
        <color indexed="64"/>
      </bottom>
      <diagonal/>
    </border>
    <border>
      <left/>
      <right style="hair">
        <color theme="1" tint="0.499984740745262"/>
      </right>
      <top/>
      <bottom style="thin">
        <color rgb="FF808080"/>
      </bottom>
      <diagonal/>
    </border>
    <border>
      <left/>
      <right style="hair">
        <color theme="1" tint="0.499984740745262"/>
      </right>
      <top style="thin">
        <color theme="1" tint="0.499984740745262"/>
      </top>
      <bottom style="thin">
        <color rgb="FF808080"/>
      </bottom>
      <diagonal/>
    </border>
    <border>
      <left/>
      <right style="hair">
        <color theme="1" tint="0.499984740745262"/>
      </right>
      <top style="hair">
        <color theme="1" tint="0.499984740745262"/>
      </top>
      <bottom style="thin">
        <color rgb="FF808080"/>
      </bottom>
      <diagonal/>
    </border>
    <border>
      <left style="thin">
        <color rgb="FF808080"/>
      </left>
      <right style="hair">
        <color theme="1" tint="0.499984740745262"/>
      </right>
      <top style="thin">
        <color rgb="FF808080"/>
      </top>
      <bottom style="thin">
        <color rgb="FF808080"/>
      </bottom>
      <diagonal/>
    </border>
    <border>
      <left style="hair">
        <color theme="1" tint="0.499984740745262"/>
      </left>
      <right style="hair">
        <color theme="1" tint="0.499984740745262"/>
      </right>
      <top/>
      <bottom style="thin">
        <color rgb="FF808080"/>
      </bottom>
      <diagonal/>
    </border>
    <border>
      <left/>
      <right style="hair">
        <color theme="1" tint="0.499984740745262"/>
      </right>
      <top/>
      <bottom style="hair">
        <color rgb="FF808080"/>
      </bottom>
      <diagonal/>
    </border>
    <border>
      <left style="hair">
        <color theme="1" tint="0.499984740745262"/>
      </left>
      <right style="thin">
        <color theme="1" tint="0.499984740745262"/>
      </right>
      <top/>
      <bottom style="thin">
        <color rgb="FF808080"/>
      </bottom>
      <diagonal/>
    </border>
    <border>
      <left style="thin">
        <color rgb="FF808080"/>
      </left>
      <right style="thick">
        <color rgb="FF808080"/>
      </right>
      <top/>
      <bottom/>
      <diagonal/>
    </border>
    <border>
      <left style="hair">
        <color indexed="64"/>
      </left>
      <right style="hair">
        <color indexed="64"/>
      </right>
      <top style="hair">
        <color indexed="64"/>
      </top>
      <bottom/>
      <diagonal/>
    </border>
    <border>
      <left style="thin">
        <color indexed="23"/>
      </left>
      <right/>
      <top/>
      <bottom style="thick">
        <color theme="1" tint="0.499984740745262"/>
      </bottom>
      <diagonal/>
    </border>
    <border>
      <left/>
      <right style="thick">
        <color theme="1" tint="0.499984740745262"/>
      </right>
      <top style="thin">
        <color theme="1" tint="0.499984740745262"/>
      </top>
      <bottom style="thin">
        <color theme="1" tint="0.499984740745262"/>
      </bottom>
      <diagonal/>
    </border>
    <border>
      <left style="hair">
        <color theme="1" tint="0.499984740745262"/>
      </left>
      <right style="thin">
        <color theme="1" tint="0.499984740745262"/>
      </right>
      <top/>
      <bottom style="thin">
        <color theme="1" tint="0.499984740745262"/>
      </bottom>
      <diagonal/>
    </border>
    <border>
      <left style="hair">
        <color theme="1" tint="0.499984740745262"/>
      </left>
      <right style="thin">
        <color theme="1" tint="0.499984740745262"/>
      </right>
      <top/>
      <bottom style="medium">
        <color rgb="FF808080"/>
      </bottom>
      <diagonal/>
    </border>
    <border>
      <left style="hair">
        <color theme="1" tint="0.499984740745262"/>
      </left>
      <right style="thin">
        <color theme="1" tint="0.499984740745262"/>
      </right>
      <top style="medium">
        <color rgb="FF808080"/>
      </top>
      <bottom style="medium">
        <color rgb="FF808080"/>
      </bottom>
      <diagonal/>
    </border>
    <border>
      <left/>
      <right style="thin">
        <color rgb="FF808080"/>
      </right>
      <top/>
      <bottom style="medium">
        <color rgb="FF808080"/>
      </bottom>
      <diagonal/>
    </border>
    <border>
      <left/>
      <right style="thin">
        <color rgb="FF808080"/>
      </right>
      <top style="medium">
        <color rgb="FF808080"/>
      </top>
      <bottom style="medium">
        <color rgb="FF808080"/>
      </bottom>
      <diagonal/>
    </border>
    <border>
      <left style="thin">
        <color theme="1" tint="0.499984740745262"/>
      </left>
      <right/>
      <top style="thin">
        <color rgb="FF808080"/>
      </top>
      <bottom style="thin">
        <color rgb="FF808080"/>
      </bottom>
      <diagonal/>
    </border>
    <border>
      <left style="thin">
        <color theme="1" tint="0.499984740745262"/>
      </left>
      <right/>
      <top/>
      <bottom style="thin">
        <color rgb="FF808080"/>
      </bottom>
      <diagonal/>
    </border>
    <border>
      <left style="hair">
        <color theme="1" tint="0.499984740745262"/>
      </left>
      <right style="hair">
        <color theme="1" tint="0.499984740745262"/>
      </right>
      <top style="thin">
        <color rgb="FF808080"/>
      </top>
      <bottom/>
      <diagonal/>
    </border>
    <border>
      <left style="hair">
        <color theme="1" tint="0.499984740745262"/>
      </left>
      <right style="thin">
        <color rgb="FF808080"/>
      </right>
      <top style="thin">
        <color rgb="FF808080"/>
      </top>
      <bottom/>
      <diagonal/>
    </border>
    <border>
      <left style="hair">
        <color theme="1" tint="0.499984740745262"/>
      </left>
      <right style="thin">
        <color rgb="FF808080"/>
      </right>
      <top/>
      <bottom style="thin">
        <color rgb="FF808080"/>
      </bottom>
      <diagonal/>
    </border>
    <border>
      <left style="thin">
        <color rgb="FF808080"/>
      </left>
      <right style="hair">
        <color theme="1" tint="0.499984740745262"/>
      </right>
      <top/>
      <bottom/>
      <diagonal/>
    </border>
    <border>
      <left/>
      <right style="thick">
        <color theme="1" tint="0.499984740745262"/>
      </right>
      <top style="thin">
        <color theme="1" tint="0.499984740745262"/>
      </top>
      <bottom/>
      <diagonal/>
    </border>
    <border>
      <left style="thin">
        <color rgb="FF808080"/>
      </left>
      <right style="hair">
        <color theme="1" tint="0.499984740745262"/>
      </right>
      <top/>
      <bottom style="thin">
        <color theme="1" tint="0.499984740745262"/>
      </bottom>
      <diagonal/>
    </border>
    <border>
      <left style="hair">
        <color rgb="FF808080"/>
      </left>
      <right style="thin">
        <color theme="1" tint="0.499984740745262"/>
      </right>
      <top/>
      <bottom style="thin">
        <color theme="1" tint="0.499984740745262"/>
      </bottom>
      <diagonal/>
    </border>
    <border>
      <left style="hair">
        <color theme="1" tint="0.499984740745262"/>
      </left>
      <right style="hair">
        <color rgb="FF808080"/>
      </right>
      <top style="hair">
        <color theme="1" tint="0.499984740745262"/>
      </top>
      <bottom/>
      <diagonal/>
    </border>
    <border>
      <left style="hair">
        <color rgb="FF808080"/>
      </left>
      <right style="hair">
        <color rgb="FF808080"/>
      </right>
      <top style="hair">
        <color theme="1" tint="0.499984740745262"/>
      </top>
      <bottom/>
      <diagonal/>
    </border>
    <border>
      <left/>
      <right style="hair">
        <color theme="1" tint="0.499984740745262"/>
      </right>
      <top style="hair">
        <color theme="1" tint="0.499984740745262"/>
      </top>
      <bottom/>
      <diagonal/>
    </border>
    <border>
      <left style="hair">
        <color theme="1" tint="0.499984740745262"/>
      </left>
      <right style="hair">
        <color rgb="FF808080"/>
      </right>
      <top/>
      <bottom/>
      <diagonal/>
    </border>
    <border>
      <left/>
      <right style="hair">
        <color rgb="FF808080"/>
      </right>
      <top style="hair">
        <color theme="1" tint="0.499984740745262"/>
      </top>
      <bottom/>
      <diagonal/>
    </border>
    <border>
      <left/>
      <right style="thin">
        <color theme="1" tint="0.499984740745262"/>
      </right>
      <top style="hair">
        <color theme="1" tint="0.499984740745262"/>
      </top>
      <bottom/>
      <diagonal/>
    </border>
    <border>
      <left/>
      <right/>
      <top style="hair">
        <color indexed="64"/>
      </top>
      <bottom style="thin">
        <color rgb="FF808080"/>
      </bottom>
      <diagonal/>
    </border>
    <border>
      <left style="thin">
        <color rgb="FF808080"/>
      </left>
      <right/>
      <top/>
      <bottom style="thin">
        <color theme="1" tint="0.499984740745262"/>
      </bottom>
      <diagonal/>
    </border>
    <border>
      <left style="thin">
        <color rgb="FF808080"/>
      </left>
      <right style="hair">
        <color rgb="FF808080"/>
      </right>
      <top/>
      <bottom style="hair">
        <color theme="1" tint="0.499984740745262"/>
      </bottom>
      <diagonal/>
    </border>
    <border>
      <left/>
      <right style="hair">
        <color rgb="FF808080"/>
      </right>
      <top/>
      <bottom style="hair">
        <color theme="1" tint="0.499984740745262"/>
      </bottom>
      <diagonal/>
    </border>
    <border>
      <left/>
      <right style="thin">
        <color rgb="FF808080"/>
      </right>
      <top/>
      <bottom style="hair">
        <color theme="1" tint="0.499984740745262"/>
      </bottom>
      <diagonal/>
    </border>
    <border>
      <left style="hair">
        <color rgb="FF808080"/>
      </left>
      <right style="hair">
        <color rgb="FF808080"/>
      </right>
      <top/>
      <bottom style="hair">
        <color theme="1" tint="0.499984740745262"/>
      </bottom>
      <diagonal/>
    </border>
    <border>
      <left style="thin">
        <color rgb="FF808080"/>
      </left>
      <right style="hair">
        <color rgb="FF808080"/>
      </right>
      <top style="hair">
        <color theme="1" tint="0.499984740745262"/>
      </top>
      <bottom style="thin">
        <color theme="1" tint="0.499984740745262"/>
      </bottom>
      <diagonal/>
    </border>
    <border>
      <left style="hair">
        <color rgb="FF808080"/>
      </left>
      <right style="hair">
        <color rgb="FF808080"/>
      </right>
      <top style="hair">
        <color theme="1" tint="0.499984740745262"/>
      </top>
      <bottom style="thin">
        <color theme="1" tint="0.499984740745262"/>
      </bottom>
      <diagonal/>
    </border>
    <border>
      <left style="hair">
        <color rgb="FF808080"/>
      </left>
      <right style="thin">
        <color rgb="FF808080"/>
      </right>
      <top/>
      <bottom style="hair">
        <color theme="1" tint="0.499984740745262"/>
      </bottom>
      <diagonal/>
    </border>
    <border>
      <left style="thin">
        <color rgb="FF808080"/>
      </left>
      <right style="hair">
        <color theme="1" tint="0.499984740745262"/>
      </right>
      <top style="hair">
        <color theme="1" tint="0.499984740745262"/>
      </top>
      <bottom style="thin">
        <color theme="1" tint="0.499984740745262"/>
      </bottom>
      <diagonal/>
    </border>
    <border>
      <left style="hair">
        <color theme="1" tint="0.499984740745262"/>
      </left>
      <right style="thin">
        <color rgb="FF808080"/>
      </right>
      <top style="hair">
        <color theme="1" tint="0.499984740745262"/>
      </top>
      <bottom style="thin">
        <color theme="1" tint="0.499984740745262"/>
      </bottom>
      <diagonal/>
    </border>
    <border>
      <left style="hair">
        <color rgb="FF808080"/>
      </left>
      <right style="hair">
        <color theme="1" tint="0.499984740745262"/>
      </right>
      <top style="hair">
        <color theme="1" tint="0.499984740745262"/>
      </top>
      <bottom style="thin">
        <color theme="1" tint="0.499984740745262"/>
      </bottom>
      <diagonal/>
    </border>
    <border>
      <left style="thin">
        <color theme="1" tint="0.499984740745262"/>
      </left>
      <right style="hair">
        <color rgb="FF808080"/>
      </right>
      <top/>
      <bottom style="hair">
        <color theme="1" tint="0.499984740745262"/>
      </bottom>
      <diagonal/>
    </border>
    <border>
      <left style="hair">
        <color rgb="FF808080"/>
      </left>
      <right style="thin">
        <color theme="1" tint="0.499984740745262"/>
      </right>
      <top/>
      <bottom style="hair">
        <color theme="1" tint="0.499984740745262"/>
      </bottom>
      <diagonal/>
    </border>
    <border>
      <left style="hair">
        <color theme="1" tint="0.499984740745262"/>
      </left>
      <right style="thin">
        <color theme="1" tint="0.499984740745262"/>
      </right>
      <top style="thin">
        <color theme="1" tint="0.499984740745262"/>
      </top>
      <bottom style="thick">
        <color theme="1" tint="0.499984740745262"/>
      </bottom>
      <diagonal/>
    </border>
    <border>
      <left style="hair">
        <color theme="1" tint="0.499984740745262"/>
      </left>
      <right/>
      <top style="hair">
        <color theme="1" tint="0.499984740745262"/>
      </top>
      <bottom/>
      <diagonal/>
    </border>
    <border>
      <left/>
      <right/>
      <top style="hair">
        <color theme="1" tint="0.499984740745262"/>
      </top>
      <bottom/>
      <diagonal/>
    </border>
    <border>
      <left style="hair">
        <color theme="1" tint="0.499984740745262"/>
      </left>
      <right/>
      <top/>
      <bottom style="hair">
        <color theme="1" tint="0.499984740745262"/>
      </bottom>
      <diagonal/>
    </border>
    <border>
      <left style="hair">
        <color rgb="FF808080"/>
      </left>
      <right/>
      <top/>
      <bottom style="hair">
        <color theme="1" tint="0.499984740745262"/>
      </bottom>
      <diagonal/>
    </border>
    <border>
      <left style="hair">
        <color rgb="FF808080"/>
      </left>
      <right style="hair">
        <color theme="1" tint="0.499984740745262"/>
      </right>
      <top/>
      <bottom style="hair">
        <color theme="1" tint="0.499984740745262"/>
      </bottom>
      <diagonal/>
    </border>
    <border>
      <left style="hair">
        <color theme="1" tint="0.499984740745262"/>
      </left>
      <right/>
      <top/>
      <bottom style="thin">
        <color rgb="FF808080"/>
      </bottom>
      <diagonal/>
    </border>
    <border>
      <left style="hair">
        <color theme="1" tint="0.499984740745262"/>
      </left>
      <right/>
      <top style="thin">
        <color rgb="FF808080"/>
      </top>
      <bottom/>
      <diagonal/>
    </border>
    <border>
      <left style="hair">
        <color theme="1" tint="0.499984740745262"/>
      </left>
      <right style="hair">
        <color rgb="FF808080"/>
      </right>
      <top style="thin">
        <color rgb="FF808080"/>
      </top>
      <bottom/>
      <diagonal/>
    </border>
    <border>
      <left style="thin">
        <color theme="1" tint="0.499984740745262"/>
      </left>
      <right/>
      <top style="hair">
        <color rgb="FF808080"/>
      </top>
      <bottom style="thin">
        <color rgb="FF808080"/>
      </bottom>
      <diagonal/>
    </border>
    <border>
      <left style="thin">
        <color theme="1" tint="0.499984740745262"/>
      </left>
      <right/>
      <top style="hair">
        <color rgb="FF808080"/>
      </top>
      <bottom style="thin">
        <color theme="1" tint="0.499984740745262"/>
      </bottom>
      <diagonal/>
    </border>
    <border>
      <left style="thin">
        <color theme="1" tint="0.499984740745262"/>
      </left>
      <right/>
      <top style="hair">
        <color theme="1" tint="0.499984740745262"/>
      </top>
      <bottom style="thin">
        <color rgb="FF808080"/>
      </bottom>
      <diagonal/>
    </border>
    <border>
      <left style="thin">
        <color theme="1" tint="0.499984740745262"/>
      </left>
      <right style="thin">
        <color theme="1" tint="0.499984740745262"/>
      </right>
      <top/>
      <bottom style="thin">
        <color rgb="FF808080"/>
      </bottom>
      <diagonal/>
    </border>
    <border>
      <left style="hair">
        <color theme="1" tint="0.499984740745262"/>
      </left>
      <right style="thin">
        <color theme="1" tint="0.499984740745262"/>
      </right>
      <top style="hair">
        <color rgb="FF808080"/>
      </top>
      <bottom style="thin">
        <color rgb="FF808080"/>
      </bottom>
      <diagonal/>
    </border>
    <border>
      <left style="hair">
        <color theme="1" tint="0.499984740745262"/>
      </left>
      <right/>
      <top style="hair">
        <color rgb="FF808080"/>
      </top>
      <bottom style="thin">
        <color rgb="FF808080"/>
      </bottom>
      <diagonal/>
    </border>
    <border>
      <left style="hair">
        <color theme="1" tint="0.499984740745262"/>
      </left>
      <right style="thin">
        <color theme="1" tint="0.499984740745262"/>
      </right>
      <top style="hair">
        <color rgb="FF808080"/>
      </top>
      <bottom style="thin">
        <color theme="1" tint="0.499984740745262"/>
      </bottom>
      <diagonal/>
    </border>
    <border>
      <left/>
      <right/>
      <top style="hair">
        <color rgb="FF808080"/>
      </top>
      <bottom style="thin">
        <color theme="1" tint="0.499984740745262"/>
      </bottom>
      <diagonal/>
    </border>
    <border>
      <left style="hair">
        <color theme="1" tint="0.499984740745262"/>
      </left>
      <right/>
      <top style="hair">
        <color rgb="FF808080"/>
      </top>
      <bottom style="thin">
        <color theme="1" tint="0.499984740745262"/>
      </bottom>
      <diagonal/>
    </border>
    <border>
      <left style="thin">
        <color rgb="FF808080"/>
      </left>
      <right style="thin">
        <color theme="1" tint="0.499984740745262"/>
      </right>
      <top/>
      <bottom/>
      <diagonal/>
    </border>
    <border>
      <left style="hair">
        <color theme="1" tint="0.499984740745262"/>
      </left>
      <right style="hair">
        <color indexed="64"/>
      </right>
      <top style="thin">
        <color rgb="FF808080"/>
      </top>
      <bottom/>
      <diagonal/>
    </border>
    <border>
      <left style="thin">
        <color rgb="FF808080"/>
      </left>
      <right style="thin">
        <color rgb="FF808080"/>
      </right>
      <top/>
      <bottom style="hair">
        <color theme="1" tint="0.499984740745262"/>
      </bottom>
      <diagonal/>
    </border>
    <border>
      <left style="hair">
        <color theme="1" tint="0.499984740745262"/>
      </left>
      <right/>
      <top style="thin">
        <color theme="1" tint="0.499984740745262"/>
      </top>
      <bottom style="thick">
        <color theme="1" tint="0.499984740745262"/>
      </bottom>
      <diagonal/>
    </border>
    <border>
      <left/>
      <right style="hair">
        <color indexed="64"/>
      </right>
      <top style="hair">
        <color indexed="64"/>
      </top>
      <bottom style="hair">
        <color indexed="64"/>
      </bottom>
      <diagonal/>
    </border>
    <border>
      <left style="thick">
        <color rgb="FF808080"/>
      </left>
      <right/>
      <top/>
      <bottom/>
      <diagonal/>
    </border>
    <border>
      <left/>
      <right style="thick">
        <color theme="1" tint="0.499984740745262"/>
      </right>
      <top style="thin">
        <color theme="1" tint="0.499984740745262"/>
      </top>
      <bottom style="thick">
        <color rgb="FF808080"/>
      </bottom>
      <diagonal/>
    </border>
    <border>
      <left/>
      <right style="thin">
        <color theme="1" tint="0.499984740745262"/>
      </right>
      <top style="thin">
        <color rgb="FF808080"/>
      </top>
      <bottom style="thick">
        <color rgb="FF808080"/>
      </bottom>
      <diagonal/>
    </border>
    <border>
      <left style="thin">
        <color theme="1" tint="0.499984740745262"/>
      </left>
      <right/>
      <top style="thin">
        <color rgb="FF808080"/>
      </top>
      <bottom/>
      <diagonal/>
    </border>
    <border>
      <left style="thin">
        <color theme="1" tint="0.499984740745262"/>
      </left>
      <right/>
      <top/>
      <bottom style="hair">
        <color rgb="FF808080"/>
      </bottom>
      <diagonal/>
    </border>
    <border>
      <left style="thin">
        <color theme="1" tint="0.499984740745262"/>
      </left>
      <right/>
      <top style="medium">
        <color rgb="FF808080"/>
      </top>
      <bottom/>
      <diagonal/>
    </border>
    <border>
      <left/>
      <right/>
      <top style="medium">
        <color rgb="FF808080"/>
      </top>
      <bottom/>
      <diagonal/>
    </border>
    <border>
      <left/>
      <right style="thin">
        <color theme="1" tint="0.499984740745262"/>
      </right>
      <top style="medium">
        <color rgb="FF808080"/>
      </top>
      <bottom/>
      <diagonal/>
    </border>
    <border>
      <left/>
      <right style="hair">
        <color indexed="64"/>
      </right>
      <top style="thin">
        <color theme="1" tint="0.499984740745262"/>
      </top>
      <bottom/>
      <diagonal/>
    </border>
    <border>
      <left style="hair">
        <color indexed="64"/>
      </left>
      <right style="thin">
        <color theme="1" tint="0.499984740745262"/>
      </right>
      <top style="thin">
        <color theme="1" tint="0.499984740745262"/>
      </top>
      <bottom/>
      <diagonal/>
    </border>
    <border>
      <left style="thin">
        <color theme="1" tint="0.499984740745262"/>
      </left>
      <right style="hair">
        <color indexed="64"/>
      </right>
      <top/>
      <bottom/>
      <diagonal/>
    </border>
    <border>
      <left style="thin">
        <color theme="1" tint="0.499984740745262"/>
      </left>
      <right style="thin">
        <color theme="1" tint="0.499984740745262"/>
      </right>
      <top style="thin">
        <color theme="1" tint="0.499984740745262"/>
      </top>
      <bottom style="medium">
        <color rgb="FF808080"/>
      </bottom>
      <diagonal/>
    </border>
    <border>
      <left style="thin">
        <color theme="1" tint="0.499984740745262"/>
      </left>
      <right style="thin">
        <color theme="1" tint="0.499984740745262"/>
      </right>
      <top style="medium">
        <color rgb="FF808080"/>
      </top>
      <bottom style="medium">
        <color theme="1" tint="0.499984740745262"/>
      </bottom>
      <diagonal/>
    </border>
    <border>
      <left style="thin">
        <color theme="1" tint="0.499984740745262"/>
      </left>
      <right style="hair">
        <color rgb="FF808080"/>
      </right>
      <top style="medium">
        <color rgb="FF808080"/>
      </top>
      <bottom style="medium">
        <color theme="1" tint="0.499984740745262"/>
      </bottom>
      <diagonal/>
    </border>
    <border>
      <left style="hair">
        <color theme="1" tint="0.499984740745262"/>
      </left>
      <right style="hair">
        <color theme="1" tint="0.499984740745262"/>
      </right>
      <top style="thin">
        <color theme="1" tint="0.499984740745262"/>
      </top>
      <bottom style="thin">
        <color rgb="FF808080"/>
      </bottom>
      <diagonal/>
    </border>
    <border>
      <left style="hair">
        <color theme="1" tint="0.499984740745262"/>
      </left>
      <right style="thin">
        <color theme="1" tint="0.499984740745262"/>
      </right>
      <top style="thin">
        <color theme="1" tint="0.499984740745262"/>
      </top>
      <bottom style="thin">
        <color rgb="FF808080"/>
      </bottom>
      <diagonal/>
    </border>
    <border>
      <left style="hair">
        <color theme="1" tint="0.499984740745262"/>
      </left>
      <right style="thin">
        <color rgb="FF808080"/>
      </right>
      <top style="thin">
        <color rgb="FF808080"/>
      </top>
      <bottom style="thin">
        <color theme="1" tint="0.499984740745262"/>
      </bottom>
      <diagonal/>
    </border>
    <border>
      <left style="hair">
        <color theme="1" tint="0.499984740745262"/>
      </left>
      <right style="hair">
        <color theme="1" tint="0.499984740745262"/>
      </right>
      <top style="thin">
        <color rgb="FF808080"/>
      </top>
      <bottom style="thin">
        <color rgb="FF808080"/>
      </bottom>
      <diagonal/>
    </border>
    <border>
      <left/>
      <right style="hair">
        <color rgb="FF808080"/>
      </right>
      <top style="hair">
        <color theme="1" tint="0.499984740745262"/>
      </top>
      <bottom style="hair">
        <color theme="1" tint="0.499984740745262"/>
      </bottom>
      <diagonal/>
    </border>
    <border>
      <left style="hair">
        <color rgb="FF808080"/>
      </left>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style="hair">
        <color rgb="FF808080"/>
      </left>
      <right style="hair">
        <color theme="1" tint="0.499984740745262"/>
      </right>
      <top style="hair">
        <color rgb="FF808080"/>
      </top>
      <bottom/>
      <diagonal/>
    </border>
    <border>
      <left style="hair">
        <color rgb="FF808080"/>
      </left>
      <right style="hair">
        <color theme="1" tint="0.499984740745262"/>
      </right>
      <top style="hair">
        <color theme="1" tint="0.499984740745262"/>
      </top>
      <bottom/>
      <diagonal/>
    </border>
    <border>
      <left style="thin">
        <color rgb="FF808080"/>
      </left>
      <right style="hair">
        <color theme="1" tint="0.499984740745262"/>
      </right>
      <top style="thin">
        <color rgb="FF808080"/>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hair">
        <color theme="1" tint="0.499984740745262"/>
      </left>
      <right/>
      <top style="thin">
        <color rgb="FF808080"/>
      </top>
      <bottom style="medium">
        <color theme="1" tint="0.499984740745262"/>
      </bottom>
      <diagonal/>
    </border>
    <border>
      <left style="hair">
        <color theme="1" tint="0.499984740745262"/>
      </left>
      <right style="hair">
        <color theme="1" tint="0.499984740745262"/>
      </right>
      <top style="thin">
        <color rgb="FF808080"/>
      </top>
      <bottom style="medium">
        <color theme="1" tint="0.499984740745262"/>
      </bottom>
      <diagonal/>
    </border>
    <border>
      <left style="hair">
        <color theme="1" tint="0.499984740745262"/>
      </left>
      <right style="thin">
        <color theme="1" tint="0.499984740745262"/>
      </right>
      <top style="thin">
        <color rgb="FF808080"/>
      </top>
      <bottom style="medium">
        <color theme="1" tint="0.499984740745262"/>
      </bottom>
      <diagonal/>
    </border>
    <border>
      <left/>
      <right style="thin">
        <color rgb="FF808080"/>
      </right>
      <top style="thin">
        <color rgb="FF808080"/>
      </top>
      <bottom style="medium">
        <color theme="1" tint="0.499984740745262"/>
      </bottom>
      <diagonal/>
    </border>
    <border>
      <left style="thin">
        <color rgb="FF808080"/>
      </left>
      <right style="hair">
        <color theme="1" tint="0.499984740745262"/>
      </right>
      <top style="thin">
        <color rgb="FF808080"/>
      </top>
      <bottom style="medium">
        <color theme="1" tint="0.499984740745262"/>
      </bottom>
      <diagonal/>
    </border>
    <border>
      <left/>
      <right style="hair">
        <color theme="1" tint="0.499984740745262"/>
      </right>
      <top style="thin">
        <color rgb="FF808080"/>
      </top>
      <bottom style="medium">
        <color theme="1" tint="0.499984740745262"/>
      </bottom>
      <diagonal/>
    </border>
    <border>
      <left style="thin">
        <color rgb="FF808080"/>
      </left>
      <right style="thick">
        <color rgb="FF808080"/>
      </right>
      <top style="thin">
        <color rgb="FF808080"/>
      </top>
      <bottom style="medium">
        <color theme="1" tint="0.499984740745262"/>
      </bottom>
      <diagonal/>
    </border>
    <border>
      <left style="hair">
        <color theme="1" tint="0.499984740745262"/>
      </left>
      <right/>
      <top style="thin">
        <color rgb="FF808080"/>
      </top>
      <bottom style="thin">
        <color rgb="FF808080"/>
      </bottom>
      <diagonal/>
    </border>
    <border>
      <left style="thin">
        <color theme="1" tint="0.499984740745262"/>
      </left>
      <right/>
      <top style="thin">
        <color theme="1" tint="0.499984740745262"/>
      </top>
      <bottom style="thin">
        <color rgb="FF808080"/>
      </bottom>
      <diagonal/>
    </border>
    <border>
      <left/>
      <right/>
      <top style="thin">
        <color theme="1" tint="0.499984740745262"/>
      </top>
      <bottom style="thin">
        <color rgb="FF808080"/>
      </bottom>
      <diagonal/>
    </border>
    <border>
      <left/>
      <right style="thin">
        <color rgb="FF808080"/>
      </right>
      <top style="thin">
        <color theme="1" tint="0.499984740745262"/>
      </top>
      <bottom style="thin">
        <color rgb="FF808080"/>
      </bottom>
      <diagonal/>
    </border>
    <border>
      <left style="thin">
        <color rgb="FF808080"/>
      </left>
      <right style="hair">
        <color theme="1" tint="0.499984740745262"/>
      </right>
      <top style="thin">
        <color theme="1" tint="0.499984740745262"/>
      </top>
      <bottom style="thin">
        <color rgb="FF808080"/>
      </bottom>
      <diagonal/>
    </border>
    <border>
      <left/>
      <right style="medium">
        <color theme="1" tint="0.499984740745262"/>
      </right>
      <top style="thin">
        <color rgb="FF808080"/>
      </top>
      <bottom style="thin">
        <color rgb="FF808080"/>
      </bottom>
      <diagonal/>
    </border>
    <border>
      <left style="hair">
        <color rgb="FF808080"/>
      </left>
      <right style="medium">
        <color theme="1" tint="0.499984740745262"/>
      </right>
      <top style="thin">
        <color rgb="FF808080"/>
      </top>
      <bottom/>
      <diagonal/>
    </border>
    <border>
      <left style="hair">
        <color rgb="FF808080"/>
      </left>
      <right style="medium">
        <color theme="1" tint="0.499984740745262"/>
      </right>
      <top/>
      <bottom/>
      <diagonal/>
    </border>
    <border>
      <left style="hair">
        <color rgb="FF808080"/>
      </left>
      <right style="medium">
        <color theme="1" tint="0.499984740745262"/>
      </right>
      <top style="thin">
        <color rgb="FF808080"/>
      </top>
      <bottom style="thin">
        <color rgb="FF808080"/>
      </bottom>
      <diagonal/>
    </border>
    <border>
      <left style="hair">
        <color rgb="FF808080"/>
      </left>
      <right style="medium">
        <color theme="1" tint="0.499984740745262"/>
      </right>
      <top/>
      <bottom style="thin">
        <color rgb="FF808080"/>
      </bottom>
      <diagonal/>
    </border>
    <border>
      <left/>
      <right style="medium">
        <color theme="1" tint="0.499984740745262"/>
      </right>
      <top/>
      <bottom/>
      <diagonal/>
    </border>
    <border>
      <left style="hair">
        <color rgb="FF808080"/>
      </left>
      <right style="medium">
        <color theme="1" tint="0.499984740745262"/>
      </right>
      <top/>
      <bottom style="thin">
        <color theme="1" tint="0.499984740745262"/>
      </bottom>
      <diagonal/>
    </border>
    <border>
      <left style="medium">
        <color theme="1" tint="0.499984740745262"/>
      </left>
      <right style="hair">
        <color rgb="FF808080"/>
      </right>
      <top/>
      <bottom style="medium">
        <color theme="1" tint="0.499984740745262"/>
      </bottom>
      <diagonal/>
    </border>
    <border>
      <left style="hair">
        <color rgb="FF808080"/>
      </left>
      <right style="hair">
        <color rgb="FF808080"/>
      </right>
      <top/>
      <bottom style="medium">
        <color theme="1" tint="0.499984740745262"/>
      </bottom>
      <diagonal/>
    </border>
    <border>
      <left/>
      <right style="medium">
        <color theme="1" tint="0.499984740745262"/>
      </right>
      <top style="thin">
        <color rgb="FF808080"/>
      </top>
      <bottom/>
      <diagonal/>
    </border>
    <border>
      <left/>
      <right style="medium">
        <color theme="1" tint="0.499984740745262"/>
      </right>
      <top/>
      <bottom style="thin">
        <color rgb="FF808080"/>
      </bottom>
      <diagonal/>
    </border>
    <border>
      <left style="hair">
        <color theme="1" tint="0.499984740745262"/>
      </left>
      <right style="medium">
        <color theme="1" tint="0.499984740745262"/>
      </right>
      <top style="thin">
        <color rgb="FF808080"/>
      </top>
      <bottom style="thin">
        <color rgb="FF808080"/>
      </bottom>
      <diagonal/>
    </border>
    <border>
      <left/>
      <right style="medium">
        <color theme="1" tint="0.499984740745262"/>
      </right>
      <top/>
      <bottom style="medium">
        <color theme="1" tint="0.499984740745262"/>
      </bottom>
      <diagonal/>
    </border>
    <border>
      <left/>
      <right/>
      <top/>
      <bottom style="medium">
        <color theme="1" tint="0.499984740745262"/>
      </bottom>
      <diagonal/>
    </border>
    <border>
      <left style="thin">
        <color theme="1" tint="0.499984740745262"/>
      </left>
      <right style="hair">
        <color rgb="FF808080"/>
      </right>
      <top style="thin">
        <color rgb="FF808080"/>
      </top>
      <bottom/>
      <diagonal/>
    </border>
    <border>
      <left style="hair">
        <color rgb="FF808080"/>
      </left>
      <right style="thin">
        <color rgb="FF808080"/>
      </right>
      <top/>
      <bottom style="thin">
        <color theme="1" tint="0.499984740745262"/>
      </bottom>
      <diagonal/>
    </border>
    <border>
      <left style="thin">
        <color theme="1" tint="0.499984740745262"/>
      </left>
      <right style="hair">
        <color rgb="FF808080"/>
      </right>
      <top style="thin">
        <color theme="1" tint="0.499984740745262"/>
      </top>
      <bottom style="thin">
        <color rgb="FF808080"/>
      </bottom>
      <diagonal/>
    </border>
    <border>
      <left style="thin">
        <color rgb="FF808080"/>
      </left>
      <right style="hair">
        <color theme="1" tint="0.499984740745262"/>
      </right>
      <top style="thin">
        <color rgb="FF808080"/>
      </top>
      <bottom/>
      <diagonal/>
    </border>
    <border>
      <left style="thin">
        <color theme="1" tint="0.499984740745262"/>
      </left>
      <right style="hair">
        <color theme="1" tint="0.499984740745262"/>
      </right>
      <top/>
      <bottom style="thin">
        <color rgb="FF808080"/>
      </bottom>
      <diagonal/>
    </border>
    <border>
      <left style="hair">
        <color theme="1" tint="0.499984740745262"/>
      </left>
      <right style="hair">
        <color theme="1" tint="0.499984740745262"/>
      </right>
      <top style="hair">
        <color theme="1" tint="0.499984740745262"/>
      </top>
      <bottom style="hair">
        <color rgb="FF808080"/>
      </bottom>
      <diagonal/>
    </border>
    <border>
      <left style="thin">
        <color theme="1" tint="0.499984740745262"/>
      </left>
      <right style="thin">
        <color theme="1" tint="0.499984740745262"/>
      </right>
      <top style="hair">
        <color theme="1" tint="0.499984740745262"/>
      </top>
      <bottom style="thin">
        <color rgb="FF808080"/>
      </bottom>
      <diagonal/>
    </border>
    <border>
      <left style="thin">
        <color rgb="FF808080"/>
      </left>
      <right/>
      <top/>
      <bottom style="thick">
        <color theme="1" tint="0.499984740745262"/>
      </bottom>
      <diagonal/>
    </border>
    <border>
      <left style="thin">
        <color indexed="23"/>
      </left>
      <right/>
      <top style="thin">
        <color theme="1" tint="0.499984740745262"/>
      </top>
      <bottom style="thin">
        <color theme="1" tint="0.499984740745262"/>
      </bottom>
      <diagonal/>
    </border>
    <border>
      <left style="thin">
        <color rgb="FF808080"/>
      </left>
      <right/>
      <top style="thin">
        <color theme="1" tint="0.499984740745262"/>
      </top>
      <bottom/>
      <diagonal/>
    </border>
    <border>
      <left style="thin">
        <color rgb="FF808080"/>
      </left>
      <right style="thin">
        <color rgb="FF808080"/>
      </right>
      <top/>
      <bottom style="hair">
        <color rgb="FF808080"/>
      </bottom>
      <diagonal/>
    </border>
    <border>
      <left/>
      <right style="hair">
        <color theme="1" tint="0.499984740745262"/>
      </right>
      <top style="hair">
        <color rgb="FF808080"/>
      </top>
      <bottom style="hair">
        <color theme="1" tint="0.499984740745262"/>
      </bottom>
      <diagonal/>
    </border>
    <border>
      <left/>
      <right style="thin">
        <color theme="1" tint="0.499984740745262"/>
      </right>
      <top style="hair">
        <color theme="1" tint="0.499984740745262"/>
      </top>
      <bottom style="thin">
        <color theme="1" tint="0.499984740745262"/>
      </bottom>
      <diagonal/>
    </border>
    <border>
      <left style="thin">
        <color theme="1" tint="0.499984740745262"/>
      </left>
      <right style="thin">
        <color theme="1" tint="0.499984740745262"/>
      </right>
      <top style="hair">
        <color rgb="FF808080"/>
      </top>
      <bottom style="thin">
        <color rgb="FF808080"/>
      </bottom>
      <diagonal/>
    </border>
    <border>
      <left style="hair">
        <color rgb="FF808080"/>
      </left>
      <right style="thin">
        <color rgb="FF808080"/>
      </right>
      <top/>
      <bottom/>
      <diagonal/>
    </border>
    <border>
      <left style="thin">
        <color theme="1" tint="0.499984740745262"/>
      </left>
      <right style="hair">
        <color theme="1" tint="0.499984740745262"/>
      </right>
      <top style="thin">
        <color theme="1" tint="0.499984740745262"/>
      </top>
      <bottom style="thick">
        <color theme="1" tint="0.499984740745262"/>
      </bottom>
      <diagonal/>
    </border>
    <border>
      <left/>
      <right style="thin">
        <color theme="1" tint="0.499984740745262"/>
      </right>
      <top style="thin">
        <color theme="1" tint="0.499984740745262"/>
      </top>
      <bottom style="thick">
        <color rgb="FF808080"/>
      </bottom>
      <diagonal/>
    </border>
    <border>
      <left style="hair">
        <color theme="1" tint="0.499984740745262"/>
      </left>
      <right style="hair">
        <color theme="1" tint="0.499984740745262"/>
      </right>
      <top style="thin">
        <color theme="1" tint="0.499984740745262"/>
      </top>
      <bottom style="thick">
        <color rgb="FF808080"/>
      </bottom>
      <diagonal/>
    </border>
    <border>
      <left style="thin">
        <color rgb="FF808080"/>
      </left>
      <right/>
      <top style="thin">
        <color theme="1" tint="0.499984740745262"/>
      </top>
      <bottom style="thin">
        <color theme="1" tint="0.499984740745262"/>
      </bottom>
      <diagonal/>
    </border>
    <border>
      <left/>
      <right style="hair">
        <color rgb="FF808080"/>
      </right>
      <top style="thin">
        <color theme="1" tint="0.499984740745262"/>
      </top>
      <bottom style="thin">
        <color rgb="FF808080"/>
      </bottom>
      <diagonal/>
    </border>
    <border>
      <left style="hair">
        <color theme="1" tint="0.499984740745262"/>
      </left>
      <right/>
      <top/>
      <bottom/>
      <diagonal/>
    </border>
    <border>
      <left style="hair">
        <color theme="1" tint="0.499984740745262"/>
      </left>
      <right style="thin">
        <color theme="1" tint="0.499984740745262"/>
      </right>
      <top style="thin">
        <color rgb="FF808080"/>
      </top>
      <bottom style="thin">
        <color rgb="FF808080"/>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n">
        <color theme="1" tint="0.499984740745262"/>
      </left>
      <right/>
      <top/>
      <bottom style="medium">
        <color theme="1" tint="0.499984740745262"/>
      </bottom>
      <diagonal/>
    </border>
    <border>
      <left style="hair">
        <color rgb="FF808080"/>
      </left>
      <right/>
      <top/>
      <bottom style="thin">
        <color theme="1" tint="0.499984740745262"/>
      </bottom>
      <diagonal/>
    </border>
    <border>
      <left style="hair">
        <color rgb="FF808080"/>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n">
        <color rgb="FF808080"/>
      </bottom>
      <diagonal/>
    </border>
    <border>
      <left style="thin">
        <color theme="1" tint="0.499984740745262"/>
      </left>
      <right style="thin">
        <color theme="1" tint="0.499984740745262"/>
      </right>
      <top style="thin">
        <color rgb="FF808080"/>
      </top>
      <bottom style="medium">
        <color theme="1" tint="0.499984740745262"/>
      </bottom>
      <diagonal/>
    </border>
    <border>
      <left style="thin">
        <color theme="1" tint="0.499984740745262"/>
      </left>
      <right style="hair">
        <color theme="1" tint="0.499984740745262"/>
      </right>
      <top style="thin">
        <color rgb="FF808080"/>
      </top>
      <bottom style="medium">
        <color theme="1" tint="0.499984740745262"/>
      </bottom>
      <diagonal/>
    </border>
    <border>
      <left/>
      <right style="thin">
        <color theme="1" tint="0.499984740745262"/>
      </right>
      <top style="thin">
        <color rgb="FF808080"/>
      </top>
      <bottom style="medium">
        <color theme="1" tint="0.499984740745262"/>
      </bottom>
      <diagonal/>
    </border>
    <border>
      <left/>
      <right/>
      <top style="thin">
        <color rgb="FF808080"/>
      </top>
      <bottom style="medium">
        <color theme="1" tint="0.499984740745262"/>
      </bottom>
      <diagonal/>
    </border>
    <border>
      <left style="thin">
        <color indexed="23"/>
      </left>
      <right/>
      <top style="thin">
        <color theme="1" tint="0.49998474074526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right style="medium">
        <color theme="1" tint="0.499984740745262"/>
      </right>
      <top style="thin">
        <color theme="1" tint="0.499984740745262"/>
      </top>
      <bottom style="thin">
        <color theme="1" tint="0.499984740745262"/>
      </bottom>
      <diagonal/>
    </border>
    <border>
      <left/>
      <right style="medium">
        <color theme="1" tint="0.499984740745262"/>
      </right>
      <top style="thin">
        <color theme="1" tint="0.499984740745262"/>
      </top>
      <bottom/>
      <diagonal/>
    </border>
    <border>
      <left style="hair">
        <color theme="1" tint="0.499984740745262"/>
      </left>
      <right style="medium">
        <color theme="1" tint="0.499984740745262"/>
      </right>
      <top style="thin">
        <color theme="1" tint="0.499984740745262"/>
      </top>
      <bottom style="thick">
        <color rgb="FF808080"/>
      </bottom>
      <diagonal/>
    </border>
    <border>
      <left style="hair">
        <color rgb="FF808080"/>
      </left>
      <right style="medium">
        <color theme="1" tint="0.499984740745262"/>
      </right>
      <top style="thin">
        <color rgb="FF808080"/>
      </top>
      <bottom style="thin">
        <color theme="1" tint="0.499984740745262"/>
      </bottom>
      <diagonal/>
    </border>
    <border>
      <left style="hair">
        <color rgb="FF808080"/>
      </left>
      <right style="medium">
        <color theme="1" tint="0.499984740745262"/>
      </right>
      <top style="thin">
        <color theme="1" tint="0.499984740745262"/>
      </top>
      <bottom style="thin">
        <color theme="1" tint="0.499984740745262"/>
      </bottom>
      <diagonal/>
    </border>
    <border>
      <left style="hair">
        <color rgb="FF808080"/>
      </left>
      <right style="medium">
        <color theme="1" tint="0.499984740745262"/>
      </right>
      <top style="thin">
        <color theme="1" tint="0.499984740745262"/>
      </top>
      <bottom style="thick">
        <color theme="1" tint="0.499984740745262"/>
      </bottom>
      <diagonal/>
    </border>
    <border>
      <left style="hair">
        <color rgb="FF808080"/>
      </left>
      <right style="medium">
        <color theme="1" tint="0.499984740745262"/>
      </right>
      <top style="thin">
        <color rgb="FF808080"/>
      </top>
      <bottom style="thick">
        <color rgb="FF808080"/>
      </bottom>
      <diagonal/>
    </border>
    <border>
      <left/>
      <right style="medium">
        <color theme="1" tint="0.499984740745262"/>
      </right>
      <top style="thin">
        <color rgb="FF808080"/>
      </top>
      <bottom style="thick">
        <color rgb="FF808080"/>
      </bottom>
      <diagonal/>
    </border>
    <border>
      <left/>
      <right style="hair">
        <color theme="1" tint="0.499984740745262"/>
      </right>
      <top/>
      <bottom style="thick">
        <color theme="1" tint="0.499984740745262"/>
      </bottom>
      <diagonal/>
    </border>
    <border>
      <left/>
      <right style="medium">
        <color theme="1" tint="0.499984740745262"/>
      </right>
      <top/>
      <bottom style="thick">
        <color theme="1" tint="0.499984740745262"/>
      </bottom>
      <diagonal/>
    </border>
    <border>
      <left style="hair">
        <color theme="1" tint="0.499984740745262"/>
      </left>
      <right style="medium">
        <color theme="1" tint="0.499984740745262"/>
      </right>
      <top style="thin">
        <color theme="1" tint="0.499984740745262"/>
      </top>
      <bottom style="thin">
        <color theme="1" tint="0.499984740745262"/>
      </bottom>
      <diagonal/>
    </border>
    <border>
      <left style="hair">
        <color theme="1" tint="0.499984740745262"/>
      </left>
      <right style="medium">
        <color theme="1" tint="0.499984740745262"/>
      </right>
      <top/>
      <bottom/>
      <diagonal/>
    </border>
    <border>
      <left style="medium">
        <color theme="1" tint="0.499984740745262"/>
      </left>
      <right/>
      <top/>
      <bottom/>
      <diagonal/>
    </border>
    <border>
      <left style="hair">
        <color rgb="FF808080"/>
      </left>
      <right style="hair">
        <color theme="1" tint="0.499984740745262"/>
      </right>
      <top style="medium">
        <color theme="1" tint="0.499984740745262"/>
      </top>
      <bottom/>
      <diagonal/>
    </border>
    <border>
      <left style="hair">
        <color rgb="FF808080"/>
      </left>
      <right style="hair">
        <color theme="1" tint="0.499984740745262"/>
      </right>
      <top/>
      <bottom style="thin">
        <color rgb="FF808080"/>
      </bottom>
      <diagonal/>
    </border>
    <border>
      <left style="hair">
        <color theme="1" tint="0.499984740745262"/>
      </left>
      <right style="medium">
        <color theme="1" tint="0.499984740745262"/>
      </right>
      <top/>
      <bottom style="thin">
        <color rgb="FF808080"/>
      </bottom>
      <diagonal/>
    </border>
    <border>
      <left style="thin">
        <color rgb="FF808080"/>
      </left>
      <right/>
      <top style="thin">
        <color rgb="FF808080"/>
      </top>
      <bottom style="thin">
        <color theme="1" tint="0.499984740745262"/>
      </bottom>
      <diagonal/>
    </border>
    <border>
      <left style="hair">
        <color rgb="FF808080"/>
      </left>
      <right/>
      <top/>
      <bottom style="thin">
        <color rgb="FF808080"/>
      </bottom>
      <diagonal/>
    </border>
    <border>
      <left style="hair">
        <color rgb="FF808080"/>
      </left>
      <right style="hair">
        <color theme="1" tint="0.499984740745262"/>
      </right>
      <top style="thin">
        <color rgb="FF808080"/>
      </top>
      <bottom style="thick">
        <color rgb="FF808080"/>
      </bottom>
      <diagonal/>
    </border>
    <border>
      <left style="hair">
        <color rgb="FF808080"/>
      </left>
      <right style="hair">
        <color theme="1" tint="0.499984740745262"/>
      </right>
      <top style="thin">
        <color rgb="FF808080"/>
      </top>
      <bottom style="thin">
        <color rgb="FF808080"/>
      </bottom>
      <diagonal/>
    </border>
    <border>
      <left style="hair">
        <color theme="1" tint="0.499984740745262"/>
      </left>
      <right style="hair">
        <color theme="1" tint="0.499984740745262"/>
      </right>
      <top style="thin">
        <color rgb="FF808080"/>
      </top>
      <bottom style="thick">
        <color rgb="FF808080"/>
      </bottom>
      <diagonal/>
    </border>
    <border>
      <left style="thin">
        <color rgb="FF808080"/>
      </left>
      <right/>
      <top/>
      <bottom style="medium">
        <color theme="1" tint="0.499984740745262"/>
      </bottom>
      <diagonal/>
    </border>
    <border>
      <left/>
      <right style="thick">
        <color rgb="FF808080"/>
      </right>
      <top/>
      <bottom style="medium">
        <color theme="1" tint="0.499984740745262"/>
      </bottom>
      <diagonal/>
    </border>
    <border>
      <left style="hair">
        <color rgb="FF808080"/>
      </left>
      <right style="hair">
        <color theme="1" tint="0.499984740745262"/>
      </right>
      <top/>
      <bottom style="thin">
        <color theme="1" tint="0.499984740745262"/>
      </bottom>
      <diagonal/>
    </border>
    <border>
      <left style="hair">
        <color rgb="FF808080"/>
      </left>
      <right style="hair">
        <color theme="1" tint="0.499984740745262"/>
      </right>
      <top/>
      <bottom style="medium">
        <color rgb="FF808080"/>
      </bottom>
      <diagonal/>
    </border>
    <border>
      <left style="hair">
        <color rgb="FF808080"/>
      </left>
      <right style="hair">
        <color theme="1" tint="0.499984740745262"/>
      </right>
      <top style="medium">
        <color rgb="FF808080"/>
      </top>
      <bottom style="medium">
        <color theme="1" tint="0.499984740745262"/>
      </bottom>
      <diagonal/>
    </border>
    <border>
      <left style="hair">
        <color rgb="FF808080"/>
      </left>
      <right style="hair">
        <color theme="1" tint="0.499984740745262"/>
      </right>
      <top style="medium">
        <color rgb="FF808080"/>
      </top>
      <bottom style="medium">
        <color rgb="FF808080"/>
      </bottom>
      <diagonal/>
    </border>
    <border>
      <left style="hair">
        <color theme="1" tint="0.499984740745262"/>
      </left>
      <right style="hair">
        <color theme="1" tint="0.499984740745262"/>
      </right>
      <top/>
      <bottom style="medium">
        <color theme="1" tint="0.499984740745262"/>
      </bottom>
      <diagonal/>
    </border>
    <border>
      <left/>
      <right style="hair">
        <color theme="1" tint="0.499984740745262"/>
      </right>
      <top/>
      <bottom style="medium">
        <color theme="1" tint="0.499984740745262"/>
      </bottom>
      <diagonal/>
    </border>
    <border>
      <left/>
      <right/>
      <top style="thin">
        <color rgb="FF808080"/>
      </top>
      <bottom style="thin">
        <color theme="1"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58">
    <xf numFmtId="0" fontId="0" fillId="0" borderId="0" xfId="0"/>
    <xf numFmtId="0" fontId="0" fillId="0" borderId="0" xfId="0" applyAlignment="1">
      <alignment vertical="center"/>
    </xf>
    <xf numFmtId="0" fontId="10" fillId="0" borderId="0" xfId="0" applyFont="1" applyAlignment="1">
      <alignment vertical="center"/>
    </xf>
    <xf numFmtId="0" fontId="12" fillId="0" borderId="0" xfId="0" applyFont="1" applyAlignment="1">
      <alignment vertical="center" wrapText="1"/>
    </xf>
    <xf numFmtId="10" fontId="12" fillId="0" borderId="0" xfId="0" applyNumberFormat="1" applyFont="1" applyAlignment="1">
      <alignment vertical="center" wrapText="1"/>
    </xf>
    <xf numFmtId="0" fontId="12" fillId="0" borderId="0" xfId="0" applyFont="1" applyAlignment="1">
      <alignment horizontal="center" vertical="center" wrapText="1"/>
    </xf>
    <xf numFmtId="0" fontId="12" fillId="0" borderId="0" xfId="0" applyFont="1"/>
    <xf numFmtId="0" fontId="11" fillId="0" borderId="0" xfId="0" applyFont="1" applyFill="1" applyBorder="1" applyAlignment="1">
      <alignment horizontal="center" vertical="center"/>
    </xf>
    <xf numFmtId="0" fontId="2" fillId="0" borderId="0" xfId="0" applyFont="1" applyFill="1" applyAlignment="1">
      <alignment vertical="center"/>
    </xf>
    <xf numFmtId="0" fontId="4" fillId="0" borderId="0" xfId="0" applyFont="1" applyFill="1" applyBorder="1" applyAlignment="1">
      <alignment horizontal="left" vertical="center"/>
    </xf>
    <xf numFmtId="0" fontId="0" fillId="0" borderId="0" xfId="0" applyBorder="1" applyAlignment="1">
      <alignment vertical="center"/>
    </xf>
    <xf numFmtId="3" fontId="0" fillId="0" borderId="1" xfId="0" applyNumberFormat="1" applyBorder="1" applyAlignment="1">
      <alignment vertical="center"/>
    </xf>
    <xf numFmtId="0" fontId="2" fillId="0" borderId="0" xfId="0" applyFont="1" applyFill="1" applyBorder="1" applyAlignment="1">
      <alignment vertical="center"/>
    </xf>
    <xf numFmtId="0" fontId="5" fillId="0" borderId="0" xfId="0" applyFont="1" applyFill="1" applyBorder="1" applyAlignment="1">
      <alignment horizontal="left" vertical="center"/>
    </xf>
    <xf numFmtId="164" fontId="5" fillId="0" borderId="0" xfId="1" applyNumberFormat="1" applyFont="1" applyFill="1" applyBorder="1" applyAlignment="1" applyProtection="1">
      <alignment vertical="center"/>
    </xf>
    <xf numFmtId="0" fontId="12" fillId="0" borderId="0" xfId="0" applyFont="1" applyAlignment="1">
      <alignment vertical="center"/>
    </xf>
    <xf numFmtId="0" fontId="12" fillId="0" borderId="0" xfId="0" applyFont="1" applyFill="1" applyBorder="1" applyAlignment="1">
      <alignment vertical="center"/>
    </xf>
    <xf numFmtId="164" fontId="7" fillId="0" borderId="0" xfId="1" applyNumberFormat="1" applyFont="1" applyFill="1" applyBorder="1" applyAlignment="1" applyProtection="1">
      <alignment vertical="center"/>
    </xf>
    <xf numFmtId="0" fontId="0" fillId="0" borderId="0" xfId="0" applyFill="1" applyAlignment="1">
      <alignment vertical="center"/>
    </xf>
    <xf numFmtId="166" fontId="0" fillId="0" borderId="1" xfId="0" applyNumberFormat="1" applyFill="1" applyBorder="1" applyAlignment="1">
      <alignment horizontal="center" vertical="center"/>
    </xf>
    <xf numFmtId="167" fontId="0" fillId="0" borderId="1" xfId="0" applyNumberFormat="1" applyFill="1" applyBorder="1" applyAlignment="1">
      <alignment horizontal="center" vertical="center"/>
    </xf>
    <xf numFmtId="0" fontId="0" fillId="0" borderId="1" xfId="0" applyFill="1" applyBorder="1" applyAlignment="1">
      <alignment vertical="center"/>
    </xf>
    <xf numFmtId="3" fontId="0" fillId="0" borderId="1" xfId="0" applyNumberFormat="1" applyFill="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0" fontId="21" fillId="0" borderId="0" xfId="0" applyFont="1" applyBorder="1" applyAlignment="1">
      <alignment vertical="center"/>
    </xf>
    <xf numFmtId="169" fontId="0" fillId="0" borderId="22" xfId="0" applyNumberFormat="1" applyFill="1" applyBorder="1" applyAlignment="1">
      <alignment horizontal="center" vertical="center"/>
    </xf>
    <xf numFmtId="168" fontId="0" fillId="0" borderId="22" xfId="0" applyNumberFormat="1" applyFill="1" applyBorder="1" applyAlignment="1">
      <alignment horizontal="center" vertical="center"/>
    </xf>
    <xf numFmtId="3" fontId="0" fillId="0" borderId="24" xfId="0" applyNumberFormat="1" applyBorder="1" applyAlignment="1">
      <alignment vertical="center"/>
    </xf>
    <xf numFmtId="3" fontId="0" fillId="0" borderId="0" xfId="0" applyNumberFormat="1" applyBorder="1" applyAlignment="1">
      <alignment vertical="center"/>
    </xf>
    <xf numFmtId="168" fontId="0" fillId="0" borderId="24" xfId="0" applyNumberFormat="1" applyFill="1" applyBorder="1" applyAlignment="1">
      <alignment horizontal="center" vertical="center"/>
    </xf>
    <xf numFmtId="1" fontId="6" fillId="0" borderId="0" xfId="0" applyNumberFormat="1" applyFont="1" applyFill="1" applyBorder="1" applyAlignment="1">
      <alignment horizontal="center" vertical="center"/>
    </xf>
    <xf numFmtId="3" fontId="5" fillId="0" borderId="0" xfId="1" applyNumberFormat="1" applyFont="1" applyFill="1" applyBorder="1" applyAlignment="1" applyProtection="1">
      <alignment vertical="center"/>
    </xf>
    <xf numFmtId="1" fontId="24" fillId="0" borderId="0" xfId="0" applyNumberFormat="1" applyFont="1" applyFill="1" applyBorder="1" applyAlignment="1">
      <alignment horizontal="center" vertical="center"/>
    </xf>
    <xf numFmtId="0" fontId="4" fillId="0" borderId="35" xfId="0" applyFont="1" applyFill="1" applyBorder="1" applyAlignment="1">
      <alignment horizontal="left" vertical="center"/>
    </xf>
    <xf numFmtId="0" fontId="4" fillId="0" borderId="36" xfId="0" applyFont="1" applyFill="1" applyBorder="1" applyAlignment="1">
      <alignment horizontal="left" vertical="center"/>
    </xf>
    <xf numFmtId="0" fontId="7" fillId="0" borderId="36" xfId="0" applyFont="1" applyFill="1" applyBorder="1" applyAlignment="1">
      <alignment horizontal="left" vertical="center"/>
    </xf>
    <xf numFmtId="0" fontId="2" fillId="0" borderId="0" xfId="0" applyFont="1" applyFill="1" applyBorder="1" applyAlignment="1">
      <alignment vertical="center" wrapText="1"/>
    </xf>
    <xf numFmtId="1" fontId="6" fillId="0" borderId="0" xfId="0" applyNumberFormat="1" applyFont="1" applyFill="1" applyBorder="1" applyAlignment="1">
      <alignment horizontal="center" vertical="center" wrapText="1"/>
    </xf>
    <xf numFmtId="0" fontId="4" fillId="0" borderId="0" xfId="0" applyFont="1" applyFill="1" applyBorder="1" applyAlignment="1">
      <alignment vertical="center"/>
    </xf>
    <xf numFmtId="0" fontId="2" fillId="0" borderId="40" xfId="0" applyFont="1" applyFill="1" applyBorder="1" applyAlignment="1">
      <alignment vertical="center"/>
    </xf>
    <xf numFmtId="1" fontId="5" fillId="0" borderId="0" xfId="0" applyNumberFormat="1" applyFont="1" applyFill="1" applyBorder="1" applyAlignment="1">
      <alignment horizontal="center" vertical="center"/>
    </xf>
    <xf numFmtId="0" fontId="12" fillId="0" borderId="36" xfId="0" applyFont="1" applyBorder="1" applyAlignment="1">
      <alignment vertical="center"/>
    </xf>
    <xf numFmtId="0" fontId="12" fillId="0" borderId="35" xfId="0" applyFont="1" applyBorder="1" applyAlignment="1">
      <alignment vertical="center"/>
    </xf>
    <xf numFmtId="0" fontId="2" fillId="0" borderId="48" xfId="0" applyFont="1" applyFill="1" applyBorder="1" applyAlignment="1">
      <alignment vertical="center"/>
    </xf>
    <xf numFmtId="1" fontId="26" fillId="0" borderId="50" xfId="0" applyNumberFormat="1" applyFont="1" applyFill="1" applyBorder="1" applyAlignment="1">
      <alignment horizontal="center" vertical="center"/>
    </xf>
    <xf numFmtId="0" fontId="26" fillId="0" borderId="51" xfId="0" applyFont="1" applyFill="1" applyBorder="1" applyAlignment="1">
      <alignment horizontal="center" vertical="center"/>
    </xf>
    <xf numFmtId="0" fontId="26" fillId="0" borderId="18" xfId="0" applyFont="1" applyFill="1" applyBorder="1" applyAlignment="1">
      <alignment horizontal="center" vertical="center"/>
    </xf>
    <xf numFmtId="0" fontId="4" fillId="0" borderId="24" xfId="0" applyFont="1" applyFill="1" applyBorder="1" applyAlignment="1">
      <alignment horizontal="left" vertical="center"/>
    </xf>
    <xf numFmtId="0" fontId="2" fillId="0" borderId="45" xfId="0" applyFont="1" applyFill="1" applyBorder="1" applyAlignment="1">
      <alignment vertical="center"/>
    </xf>
    <xf numFmtId="0" fontId="2" fillId="0" borderId="43" xfId="0" applyFont="1" applyFill="1" applyBorder="1" applyAlignment="1">
      <alignment vertical="center"/>
    </xf>
    <xf numFmtId="0" fontId="26" fillId="0" borderId="64" xfId="0" applyFont="1" applyFill="1" applyBorder="1" applyAlignment="1">
      <alignment horizontal="center" vertical="center"/>
    </xf>
    <xf numFmtId="0" fontId="26" fillId="0" borderId="62" xfId="0" applyFont="1" applyFill="1" applyBorder="1" applyAlignment="1">
      <alignment horizontal="center" vertical="center"/>
    </xf>
    <xf numFmtId="1" fontId="26" fillId="0" borderId="65" xfId="0" applyNumberFormat="1" applyFont="1" applyFill="1" applyBorder="1" applyAlignment="1">
      <alignment horizontal="center" vertical="center"/>
    </xf>
    <xf numFmtId="0" fontId="26" fillId="0" borderId="63" xfId="0" applyFont="1" applyFill="1" applyBorder="1" applyAlignment="1">
      <alignment horizontal="center" vertical="center"/>
    </xf>
    <xf numFmtId="0" fontId="26" fillId="0" borderId="66" xfId="0" applyFont="1" applyFill="1" applyBorder="1" applyAlignment="1">
      <alignment horizontal="center"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5" fillId="0" borderId="22" xfId="0" applyFont="1" applyFill="1" applyBorder="1" applyAlignment="1">
      <alignment horizontal="right" vertical="center"/>
    </xf>
    <xf numFmtId="0" fontId="3" fillId="0" borderId="23" xfId="0" applyFont="1" applyFill="1" applyBorder="1" applyAlignment="1">
      <alignment horizontal="center" vertical="center"/>
    </xf>
    <xf numFmtId="0" fontId="12" fillId="0" borderId="20" xfId="0" applyFont="1" applyBorder="1" applyAlignment="1">
      <alignment vertical="center"/>
    </xf>
    <xf numFmtId="0" fontId="7" fillId="0" borderId="39" xfId="0" applyFont="1" applyFill="1" applyBorder="1" applyAlignment="1">
      <alignment vertical="center"/>
    </xf>
    <xf numFmtId="0" fontId="14" fillId="0" borderId="0" xfId="0" applyFont="1" applyAlignment="1">
      <alignment vertical="center" wrapText="1"/>
    </xf>
    <xf numFmtId="0" fontId="12" fillId="0" borderId="22" xfId="0" applyFont="1" applyBorder="1" applyAlignment="1">
      <alignment vertical="center" wrapText="1"/>
    </xf>
    <xf numFmtId="0" fontId="13"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1" xfId="0" applyFont="1" applyBorder="1" applyAlignment="1">
      <alignment horizontal="center" vertical="center" wrapText="1"/>
    </xf>
    <xf numFmtId="0" fontId="5" fillId="0" borderId="0" xfId="0" applyFont="1"/>
    <xf numFmtId="0" fontId="13" fillId="0" borderId="0" xfId="0" applyFont="1"/>
    <xf numFmtId="0" fontId="21" fillId="0" borderId="0" xfId="0" applyFont="1" applyAlignment="1">
      <alignment vertical="center"/>
    </xf>
    <xf numFmtId="49" fontId="12" fillId="4" borderId="13" xfId="0" applyNumberFormat="1" applyFont="1" applyFill="1" applyBorder="1" applyAlignment="1" applyProtection="1">
      <alignment horizontal="center" vertical="center"/>
      <protection locked="0"/>
    </xf>
    <xf numFmtId="49" fontId="12" fillId="4" borderId="15" xfId="0" applyNumberFormat="1" applyFont="1" applyFill="1" applyBorder="1" applyAlignment="1" applyProtection="1">
      <alignment horizontal="center" vertical="center"/>
      <protection locked="0"/>
    </xf>
    <xf numFmtId="0" fontId="12" fillId="0" borderId="0" xfId="0" applyFont="1" applyAlignment="1">
      <alignment horizontal="right" vertical="center"/>
    </xf>
    <xf numFmtId="0" fontId="14" fillId="0" borderId="0" xfId="0" applyFont="1" applyAlignment="1">
      <alignment vertical="center"/>
    </xf>
    <xf numFmtId="0" fontId="16" fillId="0" borderId="0" xfId="0" applyFont="1" applyFill="1" applyBorder="1" applyAlignment="1">
      <alignment horizontal="center" vertical="center"/>
    </xf>
    <xf numFmtId="0" fontId="13" fillId="0" borderId="0" xfId="0" applyFont="1" applyAlignment="1">
      <alignment vertical="center"/>
    </xf>
    <xf numFmtId="0" fontId="12" fillId="0" borderId="16" xfId="0" applyFont="1" applyBorder="1" applyAlignment="1">
      <alignment vertical="center"/>
    </xf>
    <xf numFmtId="49" fontId="12" fillId="0" borderId="0" xfId="0" applyNumberFormat="1" applyFont="1" applyFill="1" applyBorder="1" applyAlignment="1" applyProtection="1">
      <alignment horizontal="center" vertical="center"/>
      <protection locked="0"/>
    </xf>
    <xf numFmtId="0" fontId="14" fillId="0" borderId="0" xfId="0" applyFont="1" applyAlignment="1">
      <alignment horizontal="left" vertical="center"/>
    </xf>
    <xf numFmtId="0" fontId="30" fillId="0" borderId="0" xfId="0" applyFont="1" applyAlignment="1">
      <alignment horizontal="right" vertical="center"/>
    </xf>
    <xf numFmtId="0" fontId="21" fillId="0" borderId="48" xfId="0" applyFont="1" applyBorder="1" applyAlignment="1">
      <alignment vertical="center"/>
    </xf>
    <xf numFmtId="0" fontId="21" fillId="0" borderId="0" xfId="0" applyFont="1" applyAlignment="1">
      <alignment vertical="center" wrapText="1"/>
    </xf>
    <xf numFmtId="0" fontId="12" fillId="0" borderId="0" xfId="0" applyFont="1" applyBorder="1" applyAlignment="1">
      <alignment vertical="center"/>
    </xf>
    <xf numFmtId="0" fontId="21" fillId="0" borderId="0" xfId="0" applyFont="1" applyFill="1" applyBorder="1" applyAlignment="1">
      <alignment vertical="center"/>
    </xf>
    <xf numFmtId="0" fontId="12" fillId="0" borderId="40" xfId="0" applyFont="1" applyBorder="1" applyAlignment="1">
      <alignment vertical="center"/>
    </xf>
    <xf numFmtId="0" fontId="4" fillId="0" borderId="0" xfId="0" applyFont="1" applyFill="1" applyAlignment="1">
      <alignment vertical="center"/>
    </xf>
    <xf numFmtId="0" fontId="12" fillId="0" borderId="0" xfId="0" applyFont="1" applyBorder="1" applyAlignment="1">
      <alignment vertical="center" wrapText="1"/>
    </xf>
    <xf numFmtId="0" fontId="31" fillId="0" borderId="40" xfId="0" applyFont="1" applyFill="1" applyBorder="1" applyAlignment="1">
      <alignment horizontal="left" vertical="center"/>
    </xf>
    <xf numFmtId="0" fontId="31" fillId="0" borderId="24" xfId="0" applyFont="1" applyFill="1" applyBorder="1" applyAlignment="1">
      <alignment horizontal="left" vertical="center"/>
    </xf>
    <xf numFmtId="0" fontId="13" fillId="0" borderId="37" xfId="0" applyFont="1" applyBorder="1" applyAlignment="1">
      <alignment horizontal="left" vertical="center"/>
    </xf>
    <xf numFmtId="0" fontId="13" fillId="0" borderId="45" xfId="0" applyFont="1" applyBorder="1" applyAlignment="1">
      <alignment horizontal="left" vertical="center"/>
    </xf>
    <xf numFmtId="0" fontId="14" fillId="0" borderId="0" xfId="0" applyFont="1" applyFill="1" applyBorder="1" applyAlignment="1">
      <alignment vertical="center"/>
    </xf>
    <xf numFmtId="0" fontId="14" fillId="0" borderId="0" xfId="0" quotePrefix="1" applyFont="1" applyAlignment="1">
      <alignment vertical="center"/>
    </xf>
    <xf numFmtId="0" fontId="31" fillId="0" borderId="45" xfId="0" applyFont="1" applyFill="1" applyBorder="1" applyAlignment="1">
      <alignment horizontal="left" vertical="center"/>
    </xf>
    <xf numFmtId="0" fontId="31" fillId="0" borderId="36" xfId="0" applyFont="1" applyFill="1" applyBorder="1" applyAlignment="1">
      <alignment horizontal="left" vertical="center"/>
    </xf>
    <xf numFmtId="0" fontId="33" fillId="0" borderId="0" xfId="0" applyFont="1" applyAlignment="1">
      <alignment vertical="center"/>
    </xf>
    <xf numFmtId="0" fontId="14" fillId="0" borderId="43" xfId="0" applyFont="1" applyBorder="1" applyAlignment="1">
      <alignment vertical="center" wrapText="1"/>
    </xf>
    <xf numFmtId="49" fontId="12" fillId="4" borderId="14" xfId="0" applyNumberFormat="1" applyFont="1" applyFill="1" applyBorder="1" applyAlignment="1" applyProtection="1">
      <alignment horizontal="center" vertical="center"/>
      <protection locked="0"/>
    </xf>
    <xf numFmtId="0" fontId="4" fillId="0" borderId="38" xfId="0" applyFont="1" applyFill="1" applyBorder="1" applyAlignment="1">
      <alignment horizontal="left" vertical="center"/>
    </xf>
    <xf numFmtId="0" fontId="4" fillId="0" borderId="40" xfId="0" applyFont="1" applyFill="1" applyBorder="1" applyAlignment="1">
      <alignment horizontal="left" vertical="center"/>
    </xf>
    <xf numFmtId="0" fontId="7" fillId="0" borderId="40" xfId="0" applyFont="1" applyFill="1" applyBorder="1" applyAlignment="1">
      <alignment horizontal="left" vertical="center"/>
    </xf>
    <xf numFmtId="0" fontId="7" fillId="0" borderId="0" xfId="0" applyFont="1" applyAlignment="1">
      <alignment vertical="center"/>
    </xf>
    <xf numFmtId="0" fontId="32" fillId="0" borderId="19" xfId="0" applyFont="1" applyFill="1" applyBorder="1" applyAlignment="1">
      <alignment vertical="center"/>
    </xf>
    <xf numFmtId="0" fontId="31" fillId="0" borderId="40" xfId="0" applyFont="1" applyFill="1" applyBorder="1" applyAlignment="1">
      <alignment vertical="center"/>
    </xf>
    <xf numFmtId="0" fontId="7" fillId="0" borderId="0" xfId="0" applyFont="1" applyFill="1"/>
    <xf numFmtId="0" fontId="16" fillId="0" borderId="0" xfId="0" applyFont="1" applyFill="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Border="1" applyAlignment="1">
      <alignment horizontal="left" vertical="center"/>
    </xf>
    <xf numFmtId="0" fontId="21" fillId="0" borderId="0" xfId="0" applyFont="1" applyAlignment="1">
      <alignment horizontal="left" vertical="center"/>
    </xf>
    <xf numFmtId="0" fontId="12" fillId="0" borderId="0" xfId="0" applyFont="1" applyFill="1" applyBorder="1" applyAlignment="1">
      <alignment horizontal="left" vertical="center"/>
    </xf>
    <xf numFmtId="0" fontId="12" fillId="4" borderId="14" xfId="0" applyNumberFormat="1" applyFont="1" applyFill="1" applyBorder="1" applyAlignment="1" applyProtection="1">
      <alignment horizontal="center" vertical="center"/>
      <protection locked="0"/>
    </xf>
    <xf numFmtId="0" fontId="12" fillId="4" borderId="13" xfId="0" applyNumberFormat="1" applyFont="1" applyFill="1" applyBorder="1" applyAlignment="1" applyProtection="1">
      <alignment horizontal="center" vertical="center"/>
      <protection locked="0"/>
    </xf>
    <xf numFmtId="0" fontId="12" fillId="0" borderId="12" xfId="0" applyFont="1" applyBorder="1" applyAlignment="1">
      <alignment horizontal="left" vertical="center"/>
    </xf>
    <xf numFmtId="0" fontId="7" fillId="0" borderId="0" xfId="0" applyFont="1" applyAlignment="1">
      <alignment horizontal="right" vertical="center"/>
    </xf>
    <xf numFmtId="0" fontId="5" fillId="0" borderId="0" xfId="0" applyFont="1" applyBorder="1" applyAlignment="1">
      <alignment horizontal="center" vertical="center"/>
    </xf>
    <xf numFmtId="0" fontId="12" fillId="0" borderId="0" xfId="0" applyFont="1" applyFill="1" applyAlignment="1">
      <alignment horizontal="center" vertical="center"/>
    </xf>
    <xf numFmtId="0" fontId="12" fillId="0" borderId="0" xfId="0" applyFont="1" applyAlignment="1">
      <alignment horizontal="center" vertical="center"/>
    </xf>
    <xf numFmtId="0" fontId="17" fillId="0" borderId="0" xfId="0" applyFont="1" applyAlignment="1">
      <alignment vertical="center"/>
    </xf>
    <xf numFmtId="0" fontId="14" fillId="0" borderId="0" xfId="0" applyFont="1" applyAlignment="1">
      <alignment horizontal="center" vertical="center"/>
    </xf>
    <xf numFmtId="0" fontId="5" fillId="0" borderId="0" xfId="0" applyFont="1" applyAlignment="1">
      <alignment horizontal="center" vertical="center"/>
    </xf>
    <xf numFmtId="0" fontId="34" fillId="0" borderId="0" xfId="0" applyFont="1" applyAlignment="1">
      <alignment vertical="center"/>
    </xf>
    <xf numFmtId="0" fontId="5" fillId="0" borderId="0" xfId="0" applyFont="1" applyAlignment="1">
      <alignment vertical="center"/>
    </xf>
    <xf numFmtId="174" fontId="12" fillId="4" borderId="14" xfId="0" applyNumberFormat="1" applyFont="1" applyFill="1" applyBorder="1" applyAlignment="1" applyProtection="1">
      <alignment horizontal="center" vertical="center"/>
      <protection locked="0"/>
    </xf>
    <xf numFmtId="3" fontId="7" fillId="4" borderId="71" xfId="0" applyNumberFormat="1" applyFont="1" applyFill="1" applyBorder="1" applyAlignment="1">
      <alignment horizontal="center" vertical="center"/>
    </xf>
    <xf numFmtId="3" fontId="7" fillId="4" borderId="12" xfId="0" applyNumberFormat="1" applyFont="1" applyFill="1" applyBorder="1" applyAlignment="1">
      <alignment horizontal="center" vertical="center"/>
    </xf>
    <xf numFmtId="3" fontId="7" fillId="4" borderId="40" xfId="0" applyNumberFormat="1" applyFont="1" applyFill="1" applyBorder="1" applyAlignment="1">
      <alignment horizontal="center" vertical="center"/>
    </xf>
    <xf numFmtId="3" fontId="7" fillId="4" borderId="69" xfId="0" applyNumberFormat="1" applyFont="1" applyFill="1" applyBorder="1" applyAlignment="1">
      <alignment horizontal="center" vertical="center"/>
    </xf>
    <xf numFmtId="3" fontId="7" fillId="4" borderId="54" xfId="0" applyNumberFormat="1" applyFont="1" applyFill="1" applyBorder="1" applyAlignment="1">
      <alignment horizontal="center" vertical="center"/>
    </xf>
    <xf numFmtId="3" fontId="7" fillId="4" borderId="43" xfId="0" applyNumberFormat="1" applyFont="1" applyFill="1" applyBorder="1" applyAlignment="1">
      <alignment horizontal="center" vertical="center"/>
    </xf>
    <xf numFmtId="3" fontId="5" fillId="0" borderId="49" xfId="1" applyNumberFormat="1" applyFont="1" applyFill="1" applyBorder="1" applyAlignment="1" applyProtection="1">
      <alignment horizontal="center" vertical="center"/>
    </xf>
    <xf numFmtId="3" fontId="5" fillId="0" borderId="11" xfId="1" applyNumberFormat="1" applyFont="1" applyFill="1" applyBorder="1" applyAlignment="1" applyProtection="1">
      <alignment horizontal="center" vertical="center"/>
    </xf>
    <xf numFmtId="3" fontId="5" fillId="0" borderId="53" xfId="1" applyNumberFormat="1" applyFont="1" applyFill="1" applyBorder="1" applyAlignment="1" applyProtection="1">
      <alignment horizontal="center" vertical="center"/>
    </xf>
    <xf numFmtId="3" fontId="7" fillId="4" borderId="17" xfId="1" applyNumberFormat="1" applyFont="1" applyFill="1" applyBorder="1" applyAlignment="1" applyProtection="1">
      <alignment horizontal="center" vertical="center"/>
      <protection locked="0"/>
    </xf>
    <xf numFmtId="3" fontId="7" fillId="4" borderId="9" xfId="1" applyNumberFormat="1" applyFont="1" applyFill="1" applyBorder="1" applyAlignment="1" applyProtection="1">
      <alignment horizontal="center" vertical="center"/>
      <protection locked="0"/>
    </xf>
    <xf numFmtId="3" fontId="7" fillId="4" borderId="40" xfId="1" applyNumberFormat="1" applyFont="1" applyFill="1" applyBorder="1" applyAlignment="1" applyProtection="1">
      <alignment horizontal="center" vertical="center"/>
      <protection locked="0"/>
    </xf>
    <xf numFmtId="3" fontId="7" fillId="4" borderId="12" xfId="1" applyNumberFormat="1" applyFont="1" applyFill="1" applyBorder="1" applyAlignment="1" applyProtection="1">
      <alignment horizontal="center" vertical="center"/>
      <protection locked="0"/>
    </xf>
    <xf numFmtId="3" fontId="7" fillId="4" borderId="10" xfId="1" applyNumberFormat="1" applyFont="1" applyFill="1" applyBorder="1" applyAlignment="1" applyProtection="1">
      <alignment horizontal="center" vertical="center"/>
      <protection locked="0"/>
    </xf>
    <xf numFmtId="3" fontId="7" fillId="8" borderId="12" xfId="1" applyNumberFormat="1" applyFont="1" applyFill="1" applyBorder="1" applyAlignment="1" applyProtection="1">
      <alignment horizontal="center" vertical="center"/>
      <protection locked="0"/>
    </xf>
    <xf numFmtId="3" fontId="7" fillId="8" borderId="69" xfId="1" applyNumberFormat="1" applyFont="1" applyFill="1" applyBorder="1" applyAlignment="1" applyProtection="1">
      <alignment horizontal="center" vertical="center"/>
      <protection locked="0"/>
    </xf>
    <xf numFmtId="3" fontId="7" fillId="8" borderId="55" xfId="1" applyNumberFormat="1" applyFont="1" applyFill="1" applyBorder="1" applyAlignment="1" applyProtection="1">
      <alignment horizontal="center" vertical="center"/>
      <protection locked="0"/>
    </xf>
    <xf numFmtId="3" fontId="7" fillId="8" borderId="43" xfId="1" applyNumberFormat="1" applyFont="1" applyFill="1" applyBorder="1" applyAlignment="1" applyProtection="1">
      <alignment horizontal="center" vertical="center"/>
      <protection locked="0"/>
    </xf>
    <xf numFmtId="3" fontId="5" fillId="0" borderId="51" xfId="1" applyNumberFormat="1" applyFont="1" applyFill="1" applyBorder="1" applyAlignment="1" applyProtection="1">
      <alignment horizontal="center" vertical="center"/>
    </xf>
    <xf numFmtId="3" fontId="5" fillId="0" borderId="21" xfId="1" applyNumberFormat="1" applyFont="1" applyFill="1" applyBorder="1" applyAlignment="1" applyProtection="1">
      <alignment horizontal="center" vertical="center"/>
    </xf>
    <xf numFmtId="3" fontId="5" fillId="0" borderId="64" xfId="1" applyNumberFormat="1" applyFont="1" applyFill="1" applyBorder="1" applyAlignment="1" applyProtection="1">
      <alignment horizontal="center" vertical="center"/>
    </xf>
    <xf numFmtId="3" fontId="5" fillId="0" borderId="62" xfId="1" applyNumberFormat="1" applyFont="1" applyFill="1" applyBorder="1" applyAlignment="1" applyProtection="1">
      <alignment horizontal="center" vertical="center"/>
    </xf>
    <xf numFmtId="3" fontId="5" fillId="0" borderId="43" xfId="1" applyNumberFormat="1" applyFont="1" applyFill="1" applyBorder="1" applyAlignment="1" applyProtection="1">
      <alignment horizontal="center" vertical="center"/>
    </xf>
    <xf numFmtId="3" fontId="4" fillId="4" borderId="18" xfId="1" applyNumberFormat="1" applyFont="1" applyFill="1" applyBorder="1" applyAlignment="1" applyProtection="1">
      <alignment horizontal="center" vertical="center"/>
      <protection locked="0"/>
    </xf>
    <xf numFmtId="3" fontId="4" fillId="4" borderId="5" xfId="1" applyNumberFormat="1" applyFont="1" applyFill="1" applyBorder="1" applyAlignment="1" applyProtection="1">
      <alignment horizontal="center" vertical="center"/>
      <protection locked="0"/>
    </xf>
    <xf numFmtId="3" fontId="4" fillId="4" borderId="40" xfId="1" applyNumberFormat="1" applyFont="1" applyFill="1" applyBorder="1" applyAlignment="1" applyProtection="1">
      <alignment horizontal="center" vertical="center"/>
      <protection locked="0"/>
    </xf>
    <xf numFmtId="3" fontId="22" fillId="5" borderId="64" xfId="1" applyNumberFormat="1" applyFont="1" applyFill="1" applyBorder="1" applyAlignment="1" applyProtection="1">
      <alignment horizontal="center" vertical="center"/>
      <protection locked="0"/>
    </xf>
    <xf numFmtId="3" fontId="22" fillId="5" borderId="62" xfId="1" applyNumberFormat="1" applyFont="1" applyFill="1" applyBorder="1" applyAlignment="1" applyProtection="1">
      <alignment horizontal="center" vertical="center"/>
      <protection locked="0"/>
    </xf>
    <xf numFmtId="3" fontId="22" fillId="5" borderId="43" xfId="1" applyNumberFormat="1" applyFont="1" applyFill="1" applyBorder="1" applyAlignment="1" applyProtection="1">
      <alignment horizontal="center" vertical="center"/>
      <protection locked="0"/>
    </xf>
    <xf numFmtId="3" fontId="5" fillId="0" borderId="4" xfId="1" applyNumberFormat="1" applyFont="1" applyFill="1" applyBorder="1" applyAlignment="1" applyProtection="1">
      <alignment horizontal="center" vertical="center"/>
    </xf>
    <xf numFmtId="3" fontId="5" fillId="0" borderId="2" xfId="1" applyNumberFormat="1" applyFont="1" applyFill="1" applyBorder="1" applyAlignment="1" applyProtection="1">
      <alignment horizontal="center" vertical="center"/>
    </xf>
    <xf numFmtId="3" fontId="5" fillId="0" borderId="70" xfId="1" applyNumberFormat="1" applyFont="1" applyFill="1" applyBorder="1" applyAlignment="1" applyProtection="1">
      <alignment horizontal="center" vertical="center"/>
    </xf>
    <xf numFmtId="0" fontId="32" fillId="0" borderId="43" xfId="0" applyFont="1" applyBorder="1" applyAlignment="1">
      <alignment vertical="center"/>
    </xf>
    <xf numFmtId="0" fontId="31" fillId="0" borderId="39" xfId="0" applyFont="1" applyFill="1" applyBorder="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21" fillId="0" borderId="0" xfId="0" applyFont="1" applyFill="1" applyAlignment="1">
      <alignment vertical="center"/>
    </xf>
    <xf numFmtId="0" fontId="12" fillId="0" borderId="0" xfId="0" applyFont="1" applyBorder="1" applyAlignment="1">
      <alignment horizontal="center" vertical="center" wrapText="1"/>
    </xf>
    <xf numFmtId="0" fontId="12" fillId="0" borderId="75" xfId="0" applyFont="1" applyBorder="1" applyAlignment="1">
      <alignment horizontal="center" vertical="center" wrapText="1"/>
    </xf>
    <xf numFmtId="0" fontId="14" fillId="0" borderId="75" xfId="0" applyFont="1" applyBorder="1" applyAlignment="1">
      <alignment horizontal="left" vertical="center"/>
    </xf>
    <xf numFmtId="0" fontId="29" fillId="0" borderId="75" xfId="0" applyFont="1" applyBorder="1" applyAlignment="1">
      <alignment horizontal="left" vertical="center"/>
    </xf>
    <xf numFmtId="0" fontId="7" fillId="0" borderId="80" xfId="0" applyFont="1" applyBorder="1" applyAlignment="1">
      <alignment vertical="center" wrapText="1"/>
    </xf>
    <xf numFmtId="0" fontId="7" fillId="0" borderId="81" xfId="0" applyFont="1" applyBorder="1" applyAlignment="1">
      <alignment vertical="center" wrapText="1"/>
    </xf>
    <xf numFmtId="0" fontId="7" fillId="0" borderId="81" xfId="0" applyFont="1" applyBorder="1" applyAlignment="1">
      <alignment horizontal="right" vertical="center" wrapText="1"/>
    </xf>
    <xf numFmtId="175" fontId="40" fillId="0" borderId="84" xfId="0" applyNumberFormat="1" applyFont="1" applyBorder="1" applyAlignment="1">
      <alignment horizontal="center" vertical="center" wrapText="1"/>
    </xf>
    <xf numFmtId="176" fontId="40" fillId="0" borderId="84" xfId="0" applyNumberFormat="1" applyFont="1" applyBorder="1" applyAlignment="1">
      <alignment horizontal="center" vertical="center" wrapText="1"/>
    </xf>
    <xf numFmtId="175" fontId="40" fillId="0" borderId="0" xfId="0" applyNumberFormat="1" applyFont="1" applyBorder="1" applyAlignment="1">
      <alignment horizontal="center" vertical="center" wrapText="1"/>
    </xf>
    <xf numFmtId="176" fontId="40" fillId="0" borderId="0" xfId="0" applyNumberFormat="1" applyFont="1" applyBorder="1" applyAlignment="1">
      <alignment horizontal="center" vertical="center" wrapText="1"/>
    </xf>
    <xf numFmtId="0" fontId="7" fillId="0" borderId="85" xfId="0" applyFont="1" applyBorder="1" applyAlignment="1">
      <alignment vertical="center" wrapText="1"/>
    </xf>
    <xf numFmtId="0" fontId="12" fillId="0" borderId="84" xfId="0" applyFont="1" applyBorder="1" applyAlignment="1">
      <alignment horizontal="center" vertical="center" wrapText="1"/>
    </xf>
    <xf numFmtId="0" fontId="7" fillId="0" borderId="0" xfId="0" applyFont="1" applyBorder="1" applyAlignment="1">
      <alignment vertical="center" wrapText="1"/>
    </xf>
    <xf numFmtId="0" fontId="39" fillId="0" borderId="84" xfId="0" applyFont="1" applyBorder="1" applyAlignment="1">
      <alignment horizontal="center" vertical="center" wrapText="1"/>
    </xf>
    <xf numFmtId="0" fontId="7" fillId="0" borderId="84" xfId="0" applyFont="1" applyBorder="1" applyAlignment="1">
      <alignment vertical="center" wrapText="1"/>
    </xf>
    <xf numFmtId="3" fontId="12" fillId="0" borderId="84" xfId="0" applyNumberFormat="1" applyFont="1" applyBorder="1" applyAlignment="1">
      <alignment horizontal="center" vertical="center" wrapText="1"/>
    </xf>
    <xf numFmtId="0" fontId="17" fillId="0" borderId="0" xfId="0" applyFont="1" applyAlignment="1">
      <alignment vertical="center" wrapText="1"/>
    </xf>
    <xf numFmtId="0" fontId="7" fillId="0" borderId="43" xfId="0" applyFont="1" applyBorder="1" applyAlignment="1">
      <alignment vertical="center" wrapText="1"/>
    </xf>
    <xf numFmtId="1" fontId="12" fillId="0" borderId="25" xfId="0" applyNumberFormat="1" applyFont="1" applyBorder="1" applyAlignment="1">
      <alignment horizontal="center" vertical="center" wrapText="1"/>
    </xf>
    <xf numFmtId="1" fontId="12" fillId="0" borderId="31" xfId="0" applyNumberFormat="1" applyFont="1" applyBorder="1" applyAlignment="1">
      <alignment horizontal="center" vertical="center" wrapText="1"/>
    </xf>
    <xf numFmtId="1" fontId="12" fillId="0" borderId="21" xfId="0" applyNumberFormat="1" applyFont="1" applyBorder="1" applyAlignment="1">
      <alignment horizontal="center" vertical="center" wrapText="1"/>
    </xf>
    <xf numFmtId="177" fontId="12" fillId="0" borderId="0" xfId="0" applyNumberFormat="1" applyFont="1" applyBorder="1" applyAlignment="1">
      <alignment horizontal="center" vertical="center" wrapText="1"/>
    </xf>
    <xf numFmtId="0" fontId="41" fillId="0" borderId="0" xfId="0" quotePrefix="1" applyFont="1" applyAlignment="1">
      <alignment vertical="center"/>
    </xf>
    <xf numFmtId="0" fontId="21" fillId="0" borderId="0" xfId="0" applyFont="1" applyAlignment="1">
      <alignment vertical="center"/>
    </xf>
    <xf numFmtId="0" fontId="14" fillId="0" borderId="0" xfId="0" quotePrefix="1" applyFont="1" applyBorder="1" applyAlignment="1">
      <alignment vertical="center"/>
    </xf>
    <xf numFmtId="0" fontId="21" fillId="0" borderId="75" xfId="0" applyFont="1" applyBorder="1" applyAlignment="1">
      <alignment vertical="center"/>
    </xf>
    <xf numFmtId="0" fontId="21" fillId="0" borderId="90" xfId="0" applyFont="1" applyBorder="1" applyAlignment="1">
      <alignment vertical="center"/>
    </xf>
    <xf numFmtId="0" fontId="13" fillId="0" borderId="0" xfId="0" applyFont="1" applyAlignment="1">
      <alignment horizontal="center" vertical="center"/>
    </xf>
    <xf numFmtId="0" fontId="0" fillId="0" borderId="0" xfId="0" applyAlignment="1">
      <alignment vertical="center"/>
    </xf>
    <xf numFmtId="0" fontId="42" fillId="0" borderId="0" xfId="0" applyFont="1" applyAlignment="1">
      <alignment vertical="center"/>
    </xf>
    <xf numFmtId="0" fontId="36" fillId="0" borderId="0" xfId="0" applyFont="1" applyAlignment="1">
      <alignment vertical="center"/>
    </xf>
    <xf numFmtId="0" fontId="42" fillId="0" borderId="0" xfId="0" applyFont="1" applyAlignment="1">
      <alignment horizontal="center" vertical="center"/>
    </xf>
    <xf numFmtId="0" fontId="7" fillId="0" borderId="0" xfId="0" applyFont="1" applyFill="1" applyAlignment="1">
      <alignment vertical="center"/>
    </xf>
    <xf numFmtId="0" fontId="36" fillId="0" borderId="0" xfId="0" applyFont="1" applyFill="1" applyAlignment="1">
      <alignment vertical="center"/>
    </xf>
    <xf numFmtId="0" fontId="17" fillId="0" borderId="0" xfId="0" applyFont="1" applyBorder="1" applyAlignment="1">
      <alignment horizontal="center" vertical="center"/>
    </xf>
    <xf numFmtId="0" fontId="17" fillId="0" borderId="0" xfId="0" applyFont="1" applyFill="1" applyBorder="1" applyAlignment="1">
      <alignment horizontal="center" vertical="center"/>
    </xf>
    <xf numFmtId="49" fontId="17" fillId="0" borderId="12" xfId="0" applyNumberFormat="1" applyFont="1" applyFill="1" applyBorder="1" applyAlignment="1">
      <alignment horizontal="center" vertical="center"/>
    </xf>
    <xf numFmtId="0" fontId="17" fillId="0" borderId="90" xfId="0" applyFont="1" applyBorder="1" applyAlignment="1">
      <alignment horizontal="center" vertical="center"/>
    </xf>
    <xf numFmtId="0" fontId="7" fillId="0" borderId="90" xfId="0" applyFont="1" applyFill="1" applyBorder="1" applyAlignment="1">
      <alignment vertical="center"/>
    </xf>
    <xf numFmtId="0" fontId="7" fillId="0" borderId="90" xfId="0" applyFont="1" applyBorder="1" applyAlignment="1">
      <alignment vertical="center"/>
    </xf>
    <xf numFmtId="0" fontId="17" fillId="0" borderId="76" xfId="0" applyFont="1" applyFill="1" applyBorder="1" applyAlignment="1">
      <alignment horizontal="center" vertical="center"/>
    </xf>
    <xf numFmtId="9" fontId="7" fillId="0" borderId="90" xfId="2" applyFont="1" applyFill="1" applyBorder="1" applyAlignment="1">
      <alignment horizontal="center" vertical="center"/>
    </xf>
    <xf numFmtId="0" fontId="7" fillId="0" borderId="90" xfId="0" applyFont="1" applyBorder="1" applyAlignment="1">
      <alignment horizontal="center" vertical="center"/>
    </xf>
    <xf numFmtId="3" fontId="7" fillId="6" borderId="109" xfId="0" applyNumberFormat="1" applyFont="1" applyFill="1" applyBorder="1" applyAlignment="1">
      <alignment horizontal="center" vertical="center"/>
    </xf>
    <xf numFmtId="3" fontId="7" fillId="0" borderId="90" xfId="0" applyNumberFormat="1" applyFont="1" applyBorder="1" applyAlignment="1">
      <alignment horizontal="center" vertical="center"/>
    </xf>
    <xf numFmtId="3" fontId="17" fillId="0" borderId="90" xfId="0" applyNumberFormat="1" applyFont="1" applyBorder="1" applyAlignment="1">
      <alignment horizontal="center" vertical="center"/>
    </xf>
    <xf numFmtId="3" fontId="7" fillId="4" borderId="90" xfId="0" applyNumberFormat="1" applyFont="1" applyFill="1" applyBorder="1" applyAlignment="1">
      <alignment horizontal="center" vertical="center"/>
    </xf>
    <xf numFmtId="0" fontId="7" fillId="0" borderId="110" xfId="0" applyFont="1" applyBorder="1" applyAlignment="1">
      <alignment vertical="center"/>
    </xf>
    <xf numFmtId="3" fontId="7" fillId="4" borderId="76" xfId="0" applyNumberFormat="1" applyFont="1" applyFill="1" applyBorder="1" applyAlignment="1">
      <alignment horizontal="center" vertical="center"/>
    </xf>
    <xf numFmtId="3" fontId="7" fillId="4" borderId="79" xfId="0" applyNumberFormat="1" applyFont="1" applyFill="1" applyBorder="1" applyAlignment="1">
      <alignment horizontal="center" vertical="center"/>
    </xf>
    <xf numFmtId="49" fontId="17" fillId="0" borderId="95" xfId="0" applyNumberFormat="1" applyFont="1" applyFill="1" applyBorder="1" applyAlignment="1">
      <alignment horizontal="center" vertical="center"/>
    </xf>
    <xf numFmtId="0" fontId="17" fillId="0" borderId="113" xfId="0" applyFont="1" applyBorder="1" applyAlignment="1">
      <alignment horizontal="center" vertical="center"/>
    </xf>
    <xf numFmtId="9" fontId="7" fillId="0" borderId="113" xfId="2" applyFont="1" applyFill="1" applyBorder="1" applyAlignment="1">
      <alignment horizontal="center" vertical="center"/>
    </xf>
    <xf numFmtId="0" fontId="7" fillId="0" borderId="113" xfId="0" applyFont="1" applyBorder="1" applyAlignment="1">
      <alignment horizontal="center" vertical="center"/>
    </xf>
    <xf numFmtId="3" fontId="7" fillId="6" borderId="114" xfId="0" applyNumberFormat="1" applyFont="1" applyFill="1" applyBorder="1" applyAlignment="1">
      <alignment horizontal="center" vertical="center"/>
    </xf>
    <xf numFmtId="3" fontId="7" fillId="0" borderId="113" xfId="0" applyNumberFormat="1" applyFont="1" applyBorder="1" applyAlignment="1">
      <alignment horizontal="center" vertical="center"/>
    </xf>
    <xf numFmtId="3" fontId="17" fillId="0" borderId="113" xfId="0" applyNumberFormat="1" applyFont="1" applyBorder="1" applyAlignment="1">
      <alignment horizontal="center" vertical="center"/>
    </xf>
    <xf numFmtId="0" fontId="17" fillId="0" borderId="115" xfId="0" applyFont="1" applyFill="1" applyBorder="1" applyAlignment="1">
      <alignment horizontal="center" vertical="center"/>
    </xf>
    <xf numFmtId="0" fontId="17" fillId="0" borderId="116" xfId="0" applyFont="1" applyBorder="1" applyAlignment="1">
      <alignment horizontal="center" vertical="center"/>
    </xf>
    <xf numFmtId="9" fontId="7" fillId="0" borderId="116" xfId="2" applyFont="1" applyFill="1" applyBorder="1" applyAlignment="1">
      <alignment horizontal="center" vertical="center"/>
    </xf>
    <xf numFmtId="0" fontId="7" fillId="0" borderId="116" xfId="0" applyFont="1" applyBorder="1" applyAlignment="1">
      <alignment horizontal="center" vertical="center"/>
    </xf>
    <xf numFmtId="3" fontId="7" fillId="6" borderId="118" xfId="0" applyNumberFormat="1" applyFont="1" applyFill="1" applyBorder="1" applyAlignment="1">
      <alignment horizontal="center" vertical="center"/>
    </xf>
    <xf numFmtId="3" fontId="7" fillId="0" borderId="116" xfId="0" applyNumberFormat="1" applyFont="1" applyBorder="1" applyAlignment="1">
      <alignment horizontal="center" vertical="center"/>
    </xf>
    <xf numFmtId="3" fontId="17" fillId="0" borderId="116" xfId="0" applyNumberFormat="1" applyFont="1" applyBorder="1" applyAlignment="1">
      <alignment horizontal="center" vertical="center"/>
    </xf>
    <xf numFmtId="3" fontId="7" fillId="8" borderId="95" xfId="0" applyNumberFormat="1" applyFont="1" applyFill="1" applyBorder="1" applyAlignment="1">
      <alignment horizontal="center" vertical="center"/>
    </xf>
    <xf numFmtId="3" fontId="7" fillId="8" borderId="106" xfId="0" applyNumberFormat="1" applyFont="1" applyFill="1" applyBorder="1" applyAlignment="1">
      <alignment horizontal="center" vertical="center"/>
    </xf>
    <xf numFmtId="3" fontId="7" fillId="8" borderId="113" xfId="0" applyNumberFormat="1" applyFont="1" applyFill="1" applyBorder="1" applyAlignment="1">
      <alignment horizontal="center" vertical="center"/>
    </xf>
    <xf numFmtId="9" fontId="7" fillId="0" borderId="0" xfId="2" applyFont="1" applyFill="1" applyBorder="1" applyAlignment="1">
      <alignment horizontal="center" vertical="center"/>
    </xf>
    <xf numFmtId="3" fontId="7" fillId="8" borderId="119" xfId="0" applyNumberFormat="1" applyFont="1" applyFill="1" applyBorder="1" applyAlignment="1">
      <alignment horizontal="center" vertical="center"/>
    </xf>
    <xf numFmtId="3" fontId="7" fillId="8" borderId="75" xfId="0" applyNumberFormat="1" applyFont="1" applyFill="1" applyBorder="1" applyAlignment="1">
      <alignment horizontal="center" vertical="center"/>
    </xf>
    <xf numFmtId="0" fontId="7" fillId="0" borderId="0" xfId="0" applyFont="1" applyBorder="1" applyAlignment="1">
      <alignment horizontal="center" vertical="center"/>
    </xf>
    <xf numFmtId="3" fontId="7" fillId="8" borderId="0" xfId="0" applyNumberFormat="1" applyFont="1" applyFill="1" applyBorder="1" applyAlignment="1">
      <alignment horizontal="center" vertical="center"/>
    </xf>
    <xf numFmtId="3" fontId="17" fillId="0" borderId="0" xfId="0" applyNumberFormat="1" applyFont="1" applyBorder="1" applyAlignment="1">
      <alignment horizontal="center" vertical="center"/>
    </xf>
    <xf numFmtId="0" fontId="17" fillId="0" borderId="121" xfId="0" applyFont="1" applyBorder="1" applyAlignment="1">
      <alignment horizontal="center" vertical="center"/>
    </xf>
    <xf numFmtId="9" fontId="7" fillId="0" borderId="121" xfId="2" applyFont="1" applyFill="1" applyBorder="1" applyAlignment="1">
      <alignment horizontal="center" vertical="center"/>
    </xf>
    <xf numFmtId="0" fontId="7" fillId="0" borderId="121" xfId="0" applyFont="1" applyBorder="1" applyAlignment="1">
      <alignment horizontal="center" vertical="center"/>
    </xf>
    <xf numFmtId="3" fontId="7" fillId="6" borderId="123" xfId="0" applyNumberFormat="1" applyFont="1" applyFill="1" applyBorder="1" applyAlignment="1">
      <alignment horizontal="center" vertical="center"/>
    </xf>
    <xf numFmtId="3" fontId="7" fillId="5" borderId="121" xfId="0" applyNumberFormat="1" applyFont="1" applyFill="1" applyBorder="1" applyAlignment="1">
      <alignment horizontal="center" vertical="center"/>
    </xf>
    <xf numFmtId="3" fontId="7" fillId="0" borderId="121" xfId="0" applyNumberFormat="1" applyFont="1" applyBorder="1" applyAlignment="1">
      <alignment horizontal="center" vertical="center"/>
    </xf>
    <xf numFmtId="3" fontId="17" fillId="0" borderId="121" xfId="0" applyNumberFormat="1" applyFont="1" applyBorder="1" applyAlignment="1">
      <alignment horizontal="center" vertical="center"/>
    </xf>
    <xf numFmtId="3" fontId="7" fillId="4" borderId="95" xfId="0" applyNumberFormat="1" applyFont="1" applyFill="1" applyBorder="1" applyAlignment="1">
      <alignment horizontal="center" vertical="center"/>
    </xf>
    <xf numFmtId="3" fontId="7" fillId="4" borderId="106" xfId="0" applyNumberFormat="1" applyFont="1" applyFill="1" applyBorder="1" applyAlignment="1">
      <alignment horizontal="center" vertical="center"/>
    </xf>
    <xf numFmtId="3" fontId="7" fillId="4" borderId="113" xfId="0" applyNumberFormat="1" applyFont="1" applyFill="1" applyBorder="1" applyAlignment="1">
      <alignment horizontal="center" vertical="center"/>
    </xf>
    <xf numFmtId="0" fontId="17" fillId="0" borderId="124" xfId="0" applyFont="1" applyFill="1" applyBorder="1" applyAlignment="1">
      <alignment horizontal="center" vertical="center"/>
    </xf>
    <xf numFmtId="3" fontId="7" fillId="4" borderId="122" xfId="0" applyNumberFormat="1" applyFont="1" applyFill="1" applyBorder="1" applyAlignment="1">
      <alignment horizontal="center" vertical="center"/>
    </xf>
    <xf numFmtId="3" fontId="7" fillId="4" borderId="120" xfId="0" applyNumberFormat="1" applyFont="1" applyFill="1" applyBorder="1" applyAlignment="1">
      <alignment horizontal="center" vertical="center"/>
    </xf>
    <xf numFmtId="3" fontId="7" fillId="4" borderId="121" xfId="0" applyNumberFormat="1" applyFont="1" applyFill="1" applyBorder="1" applyAlignment="1">
      <alignment horizontal="center" vertical="center"/>
    </xf>
    <xf numFmtId="3" fontId="7" fillId="4" borderId="116" xfId="0" applyNumberFormat="1" applyFont="1" applyFill="1" applyBorder="1" applyAlignment="1">
      <alignment horizontal="center" vertical="center"/>
    </xf>
    <xf numFmtId="0" fontId="0" fillId="0" borderId="0" xfId="0" applyAlignment="1">
      <alignment vertical="center"/>
    </xf>
    <xf numFmtId="0" fontId="36" fillId="0" borderId="0" xfId="0" applyFont="1" applyBorder="1" applyAlignment="1">
      <alignment vertical="center"/>
    </xf>
    <xf numFmtId="0" fontId="36" fillId="0" borderId="0" xfId="0" applyFont="1" applyBorder="1" applyAlignment="1">
      <alignment horizontal="left" vertical="center"/>
    </xf>
    <xf numFmtId="0" fontId="36" fillId="0" borderId="0" xfId="0" applyFont="1" applyFill="1" applyBorder="1" applyAlignment="1">
      <alignment horizontal="center" vertical="center"/>
    </xf>
    <xf numFmtId="0" fontId="0" fillId="0" borderId="84" xfId="0" applyBorder="1" applyAlignment="1">
      <alignment vertical="center"/>
    </xf>
    <xf numFmtId="3" fontId="0" fillId="0" borderId="0" xfId="0" applyNumberFormat="1" applyAlignment="1">
      <alignment vertical="center"/>
    </xf>
    <xf numFmtId="1" fontId="42" fillId="0" borderId="0" xfId="0" applyNumberFormat="1" applyFont="1" applyFill="1" applyBorder="1" applyAlignment="1">
      <alignment horizontal="center" vertical="center"/>
    </xf>
    <xf numFmtId="165" fontId="36" fillId="0" borderId="0" xfId="0" applyNumberFormat="1" applyFont="1" applyBorder="1" applyAlignment="1">
      <alignment vertical="center"/>
    </xf>
    <xf numFmtId="9" fontId="36" fillId="0" borderId="0" xfId="2" applyFont="1" applyBorder="1" applyAlignment="1">
      <alignment vertical="center"/>
    </xf>
    <xf numFmtId="172" fontId="36" fillId="0" borderId="0" xfId="2" applyNumberFormat="1" applyFont="1" applyBorder="1" applyAlignment="1">
      <alignment vertical="center"/>
    </xf>
    <xf numFmtId="0" fontId="45" fillId="0" borderId="0" xfId="0" applyFont="1" applyAlignment="1">
      <alignment vertical="center"/>
    </xf>
    <xf numFmtId="0" fontId="46" fillId="0" borderId="0" xfId="0" applyFont="1" applyAlignment="1">
      <alignment vertical="center"/>
    </xf>
    <xf numFmtId="0" fontId="10" fillId="0" borderId="0" xfId="0" applyFont="1" applyBorder="1" applyAlignment="1">
      <alignment vertical="center"/>
    </xf>
    <xf numFmtId="0" fontId="44" fillId="12" borderId="84" xfId="0" applyFont="1" applyFill="1"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4" xfId="0" applyBorder="1" applyAlignment="1">
      <alignment vertical="center"/>
    </xf>
    <xf numFmtId="0" fontId="10" fillId="0" borderId="22" xfId="0" applyFont="1" applyBorder="1" applyAlignment="1">
      <alignment vertical="center"/>
    </xf>
    <xf numFmtId="0" fontId="17" fillId="0" borderId="0" xfId="0" applyFont="1" applyAlignment="1">
      <alignment horizontal="center" vertical="center"/>
    </xf>
    <xf numFmtId="0" fontId="7" fillId="0" borderId="0" xfId="0" applyFont="1" applyAlignment="1">
      <alignment horizontal="center" vertical="center"/>
    </xf>
    <xf numFmtId="0" fontId="13" fillId="0" borderId="0" xfId="0" applyFont="1" applyBorder="1" applyAlignment="1">
      <alignment vertical="center"/>
    </xf>
    <xf numFmtId="1" fontId="5" fillId="0" borderId="96" xfId="0" applyNumberFormat="1" applyFont="1" applyFill="1" applyBorder="1" applyAlignment="1">
      <alignment horizontal="center" vertical="center"/>
    </xf>
    <xf numFmtId="1" fontId="5" fillId="0" borderId="107" xfId="0" applyNumberFormat="1" applyFont="1" applyFill="1" applyBorder="1" applyAlignment="1">
      <alignment horizontal="center" vertical="center"/>
    </xf>
    <xf numFmtId="0" fontId="12" fillId="0" borderId="22" xfId="0" applyFont="1" applyBorder="1" applyAlignment="1">
      <alignment vertical="center"/>
    </xf>
    <xf numFmtId="0" fontId="12" fillId="0" borderId="129" xfId="0" applyFont="1" applyBorder="1" applyAlignment="1">
      <alignment vertical="center"/>
    </xf>
    <xf numFmtId="0" fontId="5" fillId="0" borderId="96" xfId="0" applyFont="1" applyFill="1" applyBorder="1" applyAlignment="1">
      <alignment horizontal="center" vertical="center"/>
    </xf>
    <xf numFmtId="0" fontId="5" fillId="0" borderId="107" xfId="0" applyFont="1" applyFill="1" applyBorder="1" applyAlignment="1">
      <alignment horizontal="center" vertical="center"/>
    </xf>
    <xf numFmtId="165" fontId="12" fillId="0" borderId="96" xfId="0" applyNumberFormat="1" applyFont="1" applyBorder="1" applyAlignment="1">
      <alignment horizontal="center" vertical="center"/>
    </xf>
    <xf numFmtId="165" fontId="12" fillId="0" borderId="107" xfId="0" applyNumberFormat="1" applyFont="1" applyBorder="1" applyAlignment="1">
      <alignment horizontal="center" vertical="center"/>
    </xf>
    <xf numFmtId="165" fontId="12" fillId="0" borderId="87" xfId="0" applyNumberFormat="1" applyFont="1" applyBorder="1" applyAlignment="1">
      <alignment horizontal="center" vertical="center"/>
    </xf>
    <xf numFmtId="172" fontId="12" fillId="0" borderId="25" xfId="0" applyNumberFormat="1" applyFont="1" applyBorder="1" applyAlignment="1">
      <alignment horizontal="center" vertical="center"/>
    </xf>
    <xf numFmtId="172" fontId="12" fillId="0" borderId="31" xfId="2" applyNumberFormat="1" applyFont="1" applyBorder="1" applyAlignment="1">
      <alignment horizontal="center" vertical="center"/>
    </xf>
    <xf numFmtId="172" fontId="12" fillId="0" borderId="87" xfId="2" applyNumberFormat="1" applyFont="1" applyBorder="1" applyAlignment="1">
      <alignment horizontal="center" vertical="center"/>
    </xf>
    <xf numFmtId="1" fontId="5" fillId="0" borderId="102" xfId="0" applyNumberFormat="1" applyFont="1" applyFill="1" applyBorder="1" applyAlignment="1">
      <alignment horizontal="center" vertical="center"/>
    </xf>
    <xf numFmtId="0" fontId="12" fillId="0" borderId="84" xfId="0" applyFont="1" applyBorder="1" applyAlignment="1">
      <alignment vertical="center"/>
    </xf>
    <xf numFmtId="0" fontId="12" fillId="0" borderId="24" xfId="0" applyFont="1" applyBorder="1" applyAlignment="1">
      <alignment vertical="center"/>
    </xf>
    <xf numFmtId="0" fontId="12" fillId="0" borderId="26" xfId="0" applyFont="1" applyBorder="1" applyAlignment="1">
      <alignment vertical="center"/>
    </xf>
    <xf numFmtId="165" fontId="12" fillId="0" borderId="0" xfId="0" applyNumberFormat="1" applyFont="1" applyBorder="1" applyAlignment="1">
      <alignment horizontal="right" vertical="center"/>
    </xf>
    <xf numFmtId="1" fontId="12" fillId="0" borderId="0" xfId="0" applyNumberFormat="1" applyFont="1" applyBorder="1" applyAlignment="1">
      <alignment horizontal="center" vertical="center"/>
    </xf>
    <xf numFmtId="0" fontId="13" fillId="0" borderId="26" xfId="0" applyFont="1" applyBorder="1" applyAlignment="1">
      <alignment vertical="center"/>
    </xf>
    <xf numFmtId="165" fontId="13" fillId="0" borderId="100" xfId="0" applyNumberFormat="1" applyFont="1" applyBorder="1" applyAlignment="1">
      <alignment horizontal="center" vertical="center"/>
    </xf>
    <xf numFmtId="165" fontId="13" fillId="0" borderId="101" xfId="0" applyNumberFormat="1" applyFont="1" applyBorder="1" applyAlignment="1">
      <alignment horizontal="center" vertical="center"/>
    </xf>
    <xf numFmtId="165" fontId="13" fillId="0" borderId="88" xfId="0" applyNumberFormat="1" applyFont="1" applyBorder="1" applyAlignment="1">
      <alignment horizontal="center" vertical="center"/>
    </xf>
    <xf numFmtId="0" fontId="12" fillId="0" borderId="43" xfId="0" applyFont="1" applyBorder="1" applyAlignment="1">
      <alignment vertical="center"/>
    </xf>
    <xf numFmtId="0" fontId="12" fillId="0" borderId="0" xfId="2" applyNumberFormat="1" applyFont="1" applyBorder="1" applyAlignment="1">
      <alignment horizontal="right" vertical="center"/>
    </xf>
    <xf numFmtId="0" fontId="47" fillId="0" borderId="0" xfId="0" applyFont="1" applyBorder="1" applyAlignment="1">
      <alignment horizontal="center" vertical="center"/>
    </xf>
    <xf numFmtId="0" fontId="12" fillId="0" borderId="0" xfId="0" applyNumberFormat="1" applyFont="1" applyBorder="1" applyAlignment="1">
      <alignment horizontal="right" vertical="center"/>
    </xf>
    <xf numFmtId="0" fontId="12" fillId="0" borderId="0" xfId="0" applyNumberFormat="1" applyFont="1" applyAlignment="1">
      <alignment horizontal="right" vertical="center"/>
    </xf>
    <xf numFmtId="0" fontId="13" fillId="0" borderId="100" xfId="0" applyNumberFormat="1" applyFont="1" applyBorder="1" applyAlignment="1">
      <alignment horizontal="center" vertical="center"/>
    </xf>
    <xf numFmtId="0" fontId="13" fillId="0" borderId="101" xfId="0" applyNumberFormat="1" applyFont="1" applyBorder="1" applyAlignment="1">
      <alignment horizontal="center" vertical="center"/>
    </xf>
    <xf numFmtId="0" fontId="27" fillId="0" borderId="0" xfId="0" applyFont="1" applyBorder="1" applyAlignment="1">
      <alignment horizontal="center" vertical="center"/>
    </xf>
    <xf numFmtId="3" fontId="12" fillId="0" borderId="96" xfId="0" applyNumberFormat="1" applyFont="1" applyBorder="1" applyAlignment="1">
      <alignment horizontal="center" vertical="center"/>
    </xf>
    <xf numFmtId="3" fontId="12" fillId="0" borderId="107" xfId="0" applyNumberFormat="1" applyFont="1" applyBorder="1" applyAlignment="1">
      <alignment horizontal="center" vertical="center"/>
    </xf>
    <xf numFmtId="165" fontId="12" fillId="0" borderId="97" xfId="0" applyNumberFormat="1" applyFont="1" applyBorder="1" applyAlignment="1">
      <alignment horizontal="center" vertical="center"/>
    </xf>
    <xf numFmtId="165" fontId="12" fillId="0" borderId="108" xfId="0" applyNumberFormat="1" applyFont="1" applyBorder="1" applyAlignment="1">
      <alignment horizontal="center" vertical="center"/>
    </xf>
    <xf numFmtId="165" fontId="12" fillId="0" borderId="92" xfId="0" applyNumberFormat="1" applyFont="1" applyBorder="1" applyAlignment="1">
      <alignment horizontal="center" vertical="center"/>
    </xf>
    <xf numFmtId="178" fontId="12" fillId="0" borderId="131" xfId="0" applyNumberFormat="1" applyFont="1" applyBorder="1" applyAlignment="1">
      <alignment horizontal="center" vertical="center"/>
    </xf>
    <xf numFmtId="178" fontId="12" fillId="0" borderId="21" xfId="0" applyNumberFormat="1" applyFont="1" applyBorder="1" applyAlignment="1">
      <alignment horizontal="center" vertical="center"/>
    </xf>
    <xf numFmtId="165" fontId="12" fillId="0" borderId="102" xfId="0" applyNumberFormat="1" applyFont="1" applyBorder="1" applyAlignment="1">
      <alignment horizontal="center" vertical="center"/>
    </xf>
    <xf numFmtId="165" fontId="12" fillId="0" borderId="78" xfId="0" applyNumberFormat="1" applyFont="1" applyBorder="1" applyAlignment="1">
      <alignment horizontal="center" vertical="center"/>
    </xf>
    <xf numFmtId="165" fontId="12" fillId="0" borderId="103" xfId="0" applyNumberFormat="1" applyFont="1" applyBorder="1" applyAlignment="1">
      <alignment horizontal="center" vertical="center"/>
    </xf>
    <xf numFmtId="0" fontId="12" fillId="9" borderId="98" xfId="0" applyFont="1" applyFill="1" applyBorder="1" applyAlignment="1">
      <alignment horizontal="center" vertical="center"/>
    </xf>
    <xf numFmtId="0" fontId="12" fillId="0" borderId="104" xfId="0" applyFont="1" applyBorder="1" applyAlignment="1">
      <alignment horizontal="center" vertical="center"/>
    </xf>
    <xf numFmtId="0" fontId="12" fillId="0" borderId="78" xfId="0" applyFont="1" applyBorder="1" applyAlignment="1">
      <alignment horizontal="center" vertical="center"/>
    </xf>
    <xf numFmtId="3" fontId="12" fillId="0" borderId="99" xfId="0" applyNumberFormat="1" applyFont="1" applyBorder="1" applyAlignment="1">
      <alignment horizontal="center" vertical="center"/>
    </xf>
    <xf numFmtId="3" fontId="12" fillId="0" borderId="105" xfId="0" applyNumberFormat="1" applyFont="1" applyBorder="1" applyAlignment="1">
      <alignment horizontal="center" vertical="center"/>
    </xf>
    <xf numFmtId="3" fontId="12" fillId="0" borderId="78" xfId="0" applyNumberFormat="1" applyFont="1" applyBorder="1" applyAlignment="1">
      <alignment horizontal="center" vertical="center"/>
    </xf>
    <xf numFmtId="165" fontId="12" fillId="0" borderId="100" xfId="0" applyNumberFormat="1" applyFont="1" applyBorder="1" applyAlignment="1">
      <alignment horizontal="center" vertical="center"/>
    </xf>
    <xf numFmtId="165" fontId="12" fillId="0" borderId="101" xfId="0" applyNumberFormat="1" applyFont="1" applyBorder="1" applyAlignment="1">
      <alignment horizontal="center" vertical="center"/>
    </xf>
    <xf numFmtId="165" fontId="12" fillId="0" borderId="82" xfId="0" applyNumberFormat="1" applyFont="1" applyBorder="1" applyAlignment="1">
      <alignment horizontal="center" vertical="center"/>
    </xf>
    <xf numFmtId="0" fontId="12" fillId="0" borderId="126" xfId="0" applyNumberFormat="1" applyFont="1" applyBorder="1" applyAlignment="1">
      <alignment horizontal="center" vertical="center"/>
    </xf>
    <xf numFmtId="0" fontId="12" fillId="0" borderId="127" xfId="0" applyNumberFormat="1" applyFont="1" applyBorder="1" applyAlignment="1">
      <alignment horizontal="center" vertical="center"/>
    </xf>
    <xf numFmtId="1" fontId="17" fillId="0" borderId="107" xfId="0" applyNumberFormat="1" applyFont="1" applyFill="1" applyBorder="1" applyAlignment="1">
      <alignment horizontal="center" vertical="center"/>
    </xf>
    <xf numFmtId="0" fontId="7" fillId="0" borderId="24" xfId="0" applyFont="1" applyBorder="1" applyAlignment="1">
      <alignment vertical="center"/>
    </xf>
    <xf numFmtId="0" fontId="7" fillId="0" borderId="22" xfId="0" applyFont="1" applyBorder="1" applyAlignment="1">
      <alignment vertical="center"/>
    </xf>
    <xf numFmtId="0" fontId="7" fillId="0" borderId="26" xfId="0" applyFont="1" applyBorder="1" applyAlignment="1">
      <alignment vertical="center"/>
    </xf>
    <xf numFmtId="1" fontId="17" fillId="0" borderId="30" xfId="0" applyNumberFormat="1" applyFont="1" applyFill="1" applyBorder="1" applyAlignment="1">
      <alignment horizontal="center" vertical="center"/>
    </xf>
    <xf numFmtId="165" fontId="7" fillId="0" borderId="30" xfId="0" applyNumberFormat="1" applyFont="1" applyBorder="1" applyAlignment="1">
      <alignment horizontal="center" vertical="center"/>
    </xf>
    <xf numFmtId="9" fontId="7" fillId="0" borderId="30" xfId="2" applyFont="1" applyBorder="1" applyAlignment="1">
      <alignment horizontal="center" vertical="center"/>
    </xf>
    <xf numFmtId="9" fontId="7" fillId="0" borderId="30" xfId="0" applyNumberFormat="1" applyFont="1" applyBorder="1" applyAlignment="1">
      <alignment horizontal="center" vertical="center"/>
    </xf>
    <xf numFmtId="165" fontId="7" fillId="0" borderId="31" xfId="0" applyNumberFormat="1" applyFont="1" applyBorder="1" applyAlignment="1">
      <alignment horizontal="center" vertical="center"/>
    </xf>
    <xf numFmtId="9" fontId="7" fillId="0" borderId="31" xfId="2" applyFont="1" applyBorder="1" applyAlignment="1">
      <alignment horizontal="center" vertical="center"/>
    </xf>
    <xf numFmtId="9" fontId="7" fillId="0" borderId="31" xfId="0" applyNumberFormat="1" applyFont="1" applyBorder="1" applyAlignment="1">
      <alignment horizontal="center" vertical="center"/>
    </xf>
    <xf numFmtId="165" fontId="7" fillId="0" borderId="134" xfId="0" applyNumberFormat="1" applyFont="1" applyBorder="1" applyAlignment="1">
      <alignment horizontal="center" vertical="center" wrapText="1"/>
    </xf>
    <xf numFmtId="0" fontId="49" fillId="0" borderId="84" xfId="0" applyFont="1" applyBorder="1" applyAlignment="1">
      <alignment horizontal="center" vertical="center" wrapText="1"/>
    </xf>
    <xf numFmtId="3" fontId="13" fillId="8" borderId="67" xfId="0" applyNumberFormat="1" applyFont="1" applyFill="1" applyBorder="1" applyAlignment="1">
      <alignment horizontal="center" vertical="center"/>
    </xf>
    <xf numFmtId="3" fontId="13" fillId="8" borderId="68" xfId="0" applyNumberFormat="1" applyFont="1" applyFill="1" applyBorder="1" applyAlignment="1">
      <alignment horizontal="center" vertical="center"/>
    </xf>
    <xf numFmtId="3" fontId="13" fillId="8" borderId="21" xfId="0" applyNumberFormat="1" applyFont="1" applyFill="1" applyBorder="1" applyAlignment="1">
      <alignment horizontal="center" vertical="center"/>
    </xf>
    <xf numFmtId="0" fontId="12" fillId="0" borderId="0" xfId="0" quotePrefix="1" applyFont="1" applyFill="1" applyBorder="1" applyAlignment="1">
      <alignment vertical="center"/>
    </xf>
    <xf numFmtId="3" fontId="51" fillId="0" borderId="0" xfId="0" applyNumberFormat="1" applyFont="1" applyBorder="1" applyAlignment="1">
      <alignment horizontal="center" vertical="center"/>
    </xf>
    <xf numFmtId="9" fontId="12" fillId="0" borderId="130" xfId="0" applyNumberFormat="1" applyFont="1" applyBorder="1" applyAlignment="1">
      <alignment horizontal="center" vertical="center"/>
    </xf>
    <xf numFmtId="9" fontId="12" fillId="0" borderId="132" xfId="0" applyNumberFormat="1" applyFont="1" applyBorder="1" applyAlignment="1">
      <alignment horizontal="center" vertical="center"/>
    </xf>
    <xf numFmtId="0" fontId="4" fillId="0" borderId="40" xfId="0" applyFont="1" applyFill="1" applyBorder="1" applyAlignment="1">
      <alignment horizontal="left" vertical="center"/>
    </xf>
    <xf numFmtId="0" fontId="4" fillId="0" borderId="0" xfId="0" applyFont="1" applyAlignment="1">
      <alignment vertical="center"/>
    </xf>
    <xf numFmtId="3" fontId="5" fillId="0" borderId="135" xfId="1" applyNumberFormat="1" applyFont="1" applyFill="1" applyBorder="1" applyAlignment="1" applyProtection="1">
      <alignment horizontal="center" vertical="center"/>
    </xf>
    <xf numFmtId="1" fontId="26" fillId="0" borderId="57" xfId="0" applyNumberFormat="1" applyFont="1" applyFill="1" applyBorder="1" applyAlignment="1">
      <alignment horizontal="center" vertical="center"/>
    </xf>
    <xf numFmtId="164" fontId="5" fillId="0" borderId="48" xfId="1" applyNumberFormat="1" applyFont="1" applyFill="1" applyBorder="1" applyAlignment="1" applyProtection="1">
      <alignment vertical="center"/>
    </xf>
    <xf numFmtId="164" fontId="5" fillId="0" borderId="137" xfId="1" applyNumberFormat="1" applyFont="1" applyFill="1" applyBorder="1" applyAlignment="1" applyProtection="1">
      <alignment vertical="center"/>
    </xf>
    <xf numFmtId="0" fontId="14" fillId="0" borderId="138" xfId="0" applyFont="1" applyFill="1" applyBorder="1" applyAlignment="1">
      <alignment horizontal="right" vertical="center"/>
    </xf>
    <xf numFmtId="0" fontId="13" fillId="0" borderId="0" xfId="0" applyFont="1" applyAlignment="1">
      <alignment horizontal="center" vertical="center" wrapText="1"/>
    </xf>
    <xf numFmtId="49" fontId="12" fillId="4" borderId="139" xfId="0" applyNumberFormat="1" applyFont="1" applyFill="1" applyBorder="1" applyAlignment="1" applyProtection="1">
      <alignment horizontal="center" vertical="center"/>
      <protection locked="0"/>
    </xf>
    <xf numFmtId="0" fontId="17" fillId="0" borderId="0" xfId="0" applyFont="1" applyFill="1" applyAlignment="1">
      <alignment vertical="center"/>
    </xf>
    <xf numFmtId="0" fontId="42" fillId="0" borderId="0" xfId="0" applyFont="1" applyFill="1" applyAlignment="1">
      <alignment vertical="center"/>
    </xf>
    <xf numFmtId="0" fontId="17" fillId="0" borderId="140" xfId="0" applyFont="1" applyFill="1" applyBorder="1" applyAlignment="1">
      <alignment horizontal="center" vertical="center"/>
    </xf>
    <xf numFmtId="0" fontId="17" fillId="0" borderId="141" xfId="0" applyFont="1" applyBorder="1" applyAlignment="1">
      <alignment horizontal="center" vertical="center"/>
    </xf>
    <xf numFmtId="9" fontId="7" fillId="0" borderId="141" xfId="2" applyFont="1" applyFill="1" applyBorder="1" applyAlignment="1">
      <alignment horizontal="center" vertical="center"/>
    </xf>
    <xf numFmtId="3" fontId="7" fillId="8" borderId="140" xfId="0" applyNumberFormat="1" applyFont="1" applyFill="1" applyBorder="1" applyAlignment="1">
      <alignment horizontal="center" vertical="center"/>
    </xf>
    <xf numFmtId="3" fontId="7" fillId="8" borderId="142" xfId="0" applyNumberFormat="1" applyFont="1" applyFill="1" applyBorder="1" applyAlignment="1">
      <alignment horizontal="center" vertical="center"/>
    </xf>
    <xf numFmtId="0" fontId="7" fillId="0" borderId="141" xfId="0" applyFont="1" applyBorder="1" applyAlignment="1">
      <alignment horizontal="center" vertical="center"/>
    </xf>
    <xf numFmtId="3" fontId="7" fillId="8" borderId="141" xfId="0" applyNumberFormat="1" applyFont="1" applyFill="1" applyBorder="1" applyAlignment="1">
      <alignment horizontal="center" vertical="center"/>
    </xf>
    <xf numFmtId="3" fontId="17" fillId="0" borderId="141" xfId="0" applyNumberFormat="1" applyFont="1" applyBorder="1" applyAlignment="1">
      <alignment horizontal="center" vertical="center"/>
    </xf>
    <xf numFmtId="3" fontId="7" fillId="8" borderId="40" xfId="0" applyNumberFormat="1" applyFont="1" applyFill="1" applyBorder="1" applyAlignment="1">
      <alignment horizontal="center" vertical="center"/>
    </xf>
    <xf numFmtId="3" fontId="7" fillId="8" borderId="143" xfId="0" applyNumberFormat="1" applyFont="1" applyFill="1" applyBorder="1" applyAlignment="1">
      <alignment horizontal="center" vertical="center"/>
    </xf>
    <xf numFmtId="0" fontId="4" fillId="0" borderId="37" xfId="0" applyFont="1" applyFill="1" applyBorder="1" applyAlignment="1">
      <alignment horizontal="left" vertical="center"/>
    </xf>
    <xf numFmtId="0" fontId="4" fillId="0" borderId="39" xfId="0" applyFont="1" applyFill="1" applyBorder="1" applyAlignment="1">
      <alignment horizontal="left" vertical="center"/>
    </xf>
    <xf numFmtId="0" fontId="17" fillId="0" borderId="0" xfId="0" applyFont="1" applyAlignment="1">
      <alignment horizontal="center" vertical="center" wrapText="1"/>
    </xf>
    <xf numFmtId="0" fontId="2" fillId="0" borderId="19" xfId="0" applyFont="1" applyFill="1" applyBorder="1" applyAlignment="1">
      <alignment vertical="center"/>
    </xf>
    <xf numFmtId="0" fontId="31" fillId="0" borderId="0" xfId="0" applyFont="1" applyFill="1" applyBorder="1" applyAlignment="1">
      <alignment vertical="center"/>
    </xf>
    <xf numFmtId="0" fontId="7" fillId="0" borderId="0" xfId="0" applyFont="1" applyBorder="1" applyAlignment="1">
      <alignment vertical="center"/>
    </xf>
    <xf numFmtId="0" fontId="14" fillId="0" borderId="0" xfId="0" applyFont="1" applyFill="1" applyBorder="1" applyAlignment="1">
      <alignment horizontal="right" vertical="center"/>
    </xf>
    <xf numFmtId="0" fontId="31" fillId="0" borderId="39" xfId="0" applyFont="1" applyFill="1" applyBorder="1" applyAlignment="1">
      <alignment horizontal="left" vertical="center"/>
    </xf>
    <xf numFmtId="0" fontId="12" fillId="0" borderId="39" xfId="0" applyFont="1" applyBorder="1" applyAlignment="1">
      <alignment vertical="center"/>
    </xf>
    <xf numFmtId="0" fontId="4" fillId="0" borderId="86" xfId="0" applyFont="1" applyFill="1" applyBorder="1" applyAlignment="1">
      <alignment horizontal="left" vertical="center"/>
    </xf>
    <xf numFmtId="170" fontId="17" fillId="0" borderId="108" xfId="0" applyNumberFormat="1" applyFont="1" applyFill="1" applyBorder="1" applyAlignment="1">
      <alignment horizontal="center" vertical="center" wrapText="1"/>
    </xf>
    <xf numFmtId="0" fontId="12" fillId="0" borderId="148" xfId="0" applyFont="1" applyBorder="1" applyAlignment="1">
      <alignment vertical="center"/>
    </xf>
    <xf numFmtId="3" fontId="37" fillId="5" borderId="64" xfId="1" applyNumberFormat="1" applyFont="1" applyFill="1" applyBorder="1" applyAlignment="1" applyProtection="1">
      <alignment horizontal="center" vertical="center"/>
      <protection locked="0"/>
    </xf>
    <xf numFmtId="3" fontId="37" fillId="5" borderId="62" xfId="1" applyNumberFormat="1" applyFont="1" applyFill="1" applyBorder="1" applyAlignment="1" applyProtection="1">
      <alignment horizontal="center" vertical="center"/>
      <protection locked="0"/>
    </xf>
    <xf numFmtId="3" fontId="37" fillId="5" borderId="43" xfId="1" applyNumberFormat="1" applyFont="1" applyFill="1" applyBorder="1" applyAlignment="1" applyProtection="1">
      <alignment horizontal="center" vertical="center"/>
      <protection locked="0"/>
    </xf>
    <xf numFmtId="0" fontId="37" fillId="0" borderId="24" xfId="0" applyFont="1" applyFill="1" applyBorder="1" applyAlignment="1">
      <alignment horizontal="left" vertical="center"/>
    </xf>
    <xf numFmtId="3" fontId="37" fillId="5" borderId="61" xfId="1" applyNumberFormat="1" applyFont="1" applyFill="1" applyBorder="1" applyAlignment="1" applyProtection="1">
      <alignment horizontal="center" vertical="center"/>
      <protection locked="0"/>
    </xf>
    <xf numFmtId="3" fontId="5" fillId="0" borderId="162" xfId="1" applyNumberFormat="1" applyFont="1" applyFill="1" applyBorder="1" applyAlignment="1" applyProtection="1">
      <alignment horizontal="center" vertical="center"/>
    </xf>
    <xf numFmtId="3" fontId="5" fillId="0" borderId="163" xfId="1" applyNumberFormat="1" applyFont="1" applyFill="1" applyBorder="1" applyAlignment="1" applyProtection="1">
      <alignment horizontal="center" vertical="center"/>
    </xf>
    <xf numFmtId="3" fontId="5" fillId="0" borderId="164" xfId="1" applyNumberFormat="1" applyFont="1" applyFill="1" applyBorder="1" applyAlignment="1" applyProtection="1">
      <alignment horizontal="center" vertical="center"/>
    </xf>
    <xf numFmtId="3" fontId="5" fillId="0" borderId="165" xfId="1" applyNumberFormat="1" applyFont="1" applyFill="1" applyBorder="1" applyAlignment="1" applyProtection="1">
      <alignment horizontal="center" vertical="center"/>
    </xf>
    <xf numFmtId="3" fontId="5" fillId="0" borderId="166" xfId="1" applyNumberFormat="1" applyFont="1" applyFill="1" applyBorder="1" applyAlignment="1" applyProtection="1">
      <alignment horizontal="center" vertical="center"/>
    </xf>
    <xf numFmtId="0" fontId="14" fillId="0" borderId="90" xfId="0" applyFont="1" applyFill="1" applyBorder="1" applyAlignment="1">
      <alignment horizontal="right" vertical="center"/>
    </xf>
    <xf numFmtId="0" fontId="6" fillId="0" borderId="0" xfId="0" applyFont="1" applyAlignment="1">
      <alignment vertical="center"/>
    </xf>
    <xf numFmtId="0" fontId="21" fillId="0" borderId="0" xfId="0" applyFont="1" applyAlignment="1">
      <alignment horizontal="right" vertical="center" indent="1"/>
    </xf>
    <xf numFmtId="0" fontId="31" fillId="0" borderId="0" xfId="0" applyFont="1" applyFill="1" applyBorder="1" applyAlignment="1">
      <alignment horizontal="left" vertical="center"/>
    </xf>
    <xf numFmtId="0" fontId="7" fillId="0" borderId="0" xfId="0" applyFont="1" applyFill="1" applyBorder="1" applyAlignment="1">
      <alignment vertical="center"/>
    </xf>
    <xf numFmtId="0" fontId="31" fillId="0" borderId="19" xfId="0" applyFont="1" applyFill="1" applyBorder="1" applyAlignment="1">
      <alignment horizontal="left" vertical="center"/>
    </xf>
    <xf numFmtId="0" fontId="21" fillId="0" borderId="170" xfId="0" applyFont="1" applyBorder="1" applyAlignment="1">
      <alignment vertical="center"/>
    </xf>
    <xf numFmtId="0" fontId="52" fillId="0" borderId="0" xfId="0" applyFont="1" applyFill="1" applyBorder="1" applyAlignment="1">
      <alignment horizontal="left" vertical="center"/>
    </xf>
    <xf numFmtId="0" fontId="57" fillId="0" borderId="0" xfId="0" applyFont="1" applyAlignment="1">
      <alignment vertical="center" wrapText="1"/>
    </xf>
    <xf numFmtId="1" fontId="17" fillId="0" borderId="113" xfId="0" applyNumberFormat="1" applyFont="1" applyBorder="1" applyAlignment="1">
      <alignment horizontal="center" vertical="center"/>
    </xf>
    <xf numFmtId="1" fontId="17" fillId="0" borderId="116" xfId="0" applyNumberFormat="1" applyFont="1" applyBorder="1" applyAlignment="1">
      <alignment horizontal="center" vertical="center"/>
    </xf>
    <xf numFmtId="0" fontId="12" fillId="0" borderId="0" xfId="0" applyFont="1" applyAlignment="1">
      <alignment horizontal="right" vertical="center"/>
    </xf>
    <xf numFmtId="0" fontId="49" fillId="5" borderId="13" xfId="0" applyFont="1" applyFill="1" applyBorder="1" applyAlignment="1">
      <alignment horizontal="left" vertical="center" wrapText="1"/>
    </xf>
    <xf numFmtId="0" fontId="58" fillId="0" borderId="0" xfId="0" applyFont="1" applyAlignment="1">
      <alignment horizontal="left" vertical="center" wrapText="1"/>
    </xf>
    <xf numFmtId="0" fontId="40" fillId="0" borderId="0" xfId="0" applyFont="1" applyAlignment="1">
      <alignment horizontal="left" vertical="center" wrapText="1"/>
    </xf>
    <xf numFmtId="0" fontId="7" fillId="0" borderId="167" xfId="0" applyFont="1" applyBorder="1" applyAlignment="1">
      <alignment vertical="center" wrapText="1"/>
    </xf>
    <xf numFmtId="0" fontId="12" fillId="0" borderId="110"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167" xfId="0" applyFont="1" applyBorder="1" applyAlignment="1">
      <alignment horizontal="center" vertical="center" wrapText="1"/>
    </xf>
    <xf numFmtId="0" fontId="12" fillId="0" borderId="119" xfId="0" applyFont="1" applyBorder="1" applyAlignment="1">
      <alignment horizontal="center" vertical="center" wrapText="1"/>
    </xf>
    <xf numFmtId="0" fontId="14" fillId="0" borderId="75" xfId="0" quotePrefix="1" applyFont="1" applyBorder="1" applyAlignment="1">
      <alignment vertical="center"/>
    </xf>
    <xf numFmtId="0" fontId="14" fillId="0" borderId="75" xfId="0" applyFont="1" applyBorder="1" applyAlignment="1">
      <alignment vertical="center" wrapText="1"/>
    </xf>
    <xf numFmtId="0" fontId="12" fillId="0" borderId="75" xfId="0" applyFont="1" applyBorder="1" applyAlignment="1">
      <alignment vertical="center" wrapText="1"/>
    </xf>
    <xf numFmtId="0" fontId="14" fillId="0" borderId="90" xfId="0" applyFont="1" applyBorder="1" applyAlignment="1">
      <alignment vertical="center" wrapText="1"/>
    </xf>
    <xf numFmtId="0" fontId="12" fillId="0" borderId="90" xfId="0" applyFont="1" applyBorder="1" applyAlignment="1">
      <alignment vertical="center" wrapText="1"/>
    </xf>
    <xf numFmtId="0" fontId="52" fillId="0" borderId="0" xfId="0" applyFont="1" applyBorder="1" applyAlignment="1">
      <alignment horizontal="center" vertical="center" wrapText="1"/>
    </xf>
    <xf numFmtId="0" fontId="4" fillId="0" borderId="0" xfId="0" applyFont="1" applyFill="1" applyBorder="1" applyAlignment="1">
      <alignment horizontal="left" vertical="center"/>
    </xf>
    <xf numFmtId="0" fontId="31" fillId="0" borderId="0" xfId="0" applyFont="1" applyFill="1" applyBorder="1" applyAlignment="1">
      <alignment horizontal="left" vertical="center"/>
    </xf>
    <xf numFmtId="181" fontId="17" fillId="0" borderId="32" xfId="0" applyNumberFormat="1" applyFont="1" applyFill="1" applyBorder="1" applyAlignment="1">
      <alignment horizontal="center" vertical="center" wrapText="1"/>
    </xf>
    <xf numFmtId="9" fontId="12" fillId="0" borderId="181" xfId="0" applyNumberFormat="1" applyFont="1" applyBorder="1" applyAlignment="1">
      <alignment horizontal="center" vertical="center" wrapText="1"/>
    </xf>
    <xf numFmtId="9" fontId="36" fillId="0" borderId="0" xfId="0" applyNumberFormat="1" applyFont="1" applyAlignment="1">
      <alignment vertical="center"/>
    </xf>
    <xf numFmtId="3" fontId="7" fillId="0" borderId="113" xfId="0" applyNumberFormat="1" applyFont="1" applyFill="1" applyBorder="1" applyAlignment="1">
      <alignment horizontal="center" vertical="center"/>
    </xf>
    <xf numFmtId="3" fontId="7" fillId="0" borderId="121" xfId="0" applyNumberFormat="1" applyFont="1" applyFill="1" applyBorder="1" applyAlignment="1">
      <alignment horizontal="center" vertical="center"/>
    </xf>
    <xf numFmtId="0" fontId="2" fillId="0" borderId="0" xfId="0" applyFont="1" applyAlignment="1">
      <alignment vertical="center"/>
    </xf>
    <xf numFmtId="0" fontId="61" fillId="0" borderId="0" xfId="0" applyFont="1" applyAlignment="1">
      <alignment horizontal="right" vertical="center"/>
    </xf>
    <xf numFmtId="3" fontId="61" fillId="0" borderId="0" xfId="0" applyNumberFormat="1" applyFont="1" applyAlignment="1">
      <alignment horizontal="center" vertical="center"/>
    </xf>
    <xf numFmtId="0" fontId="62" fillId="0" borderId="0" xfId="0" applyFont="1" applyAlignment="1">
      <alignment horizontal="right" vertical="center"/>
    </xf>
    <xf numFmtId="49" fontId="17" fillId="0" borderId="122" xfId="0" applyNumberFormat="1" applyFont="1" applyFill="1" applyBorder="1" applyAlignment="1">
      <alignment horizontal="center" vertical="center"/>
    </xf>
    <xf numFmtId="49" fontId="17" fillId="0" borderId="167" xfId="0" applyNumberFormat="1" applyFont="1" applyFill="1" applyBorder="1" applyAlignment="1">
      <alignment horizontal="center" vertical="center"/>
    </xf>
    <xf numFmtId="0" fontId="18" fillId="0" borderId="90" xfId="0" applyFont="1" applyBorder="1" applyAlignment="1">
      <alignment vertical="center"/>
    </xf>
    <xf numFmtId="0" fontId="42" fillId="0" borderId="90" xfId="0" applyFont="1" applyFill="1" applyBorder="1" applyAlignment="1">
      <alignment vertical="center"/>
    </xf>
    <xf numFmtId="0" fontId="21" fillId="0" borderId="0" xfId="0" applyFont="1" applyAlignment="1">
      <alignment horizontal="left" vertical="center" indent="1"/>
    </xf>
    <xf numFmtId="0" fontId="21" fillId="0" borderId="168" xfId="0" applyFont="1" applyBorder="1" applyAlignment="1">
      <alignment horizontal="left" vertical="center" indent="1"/>
    </xf>
    <xf numFmtId="0" fontId="7" fillId="0" borderId="75" xfId="0" applyFont="1" applyFill="1" applyBorder="1" applyAlignment="1">
      <alignment horizontal="left" vertical="center" indent="1"/>
    </xf>
    <xf numFmtId="0" fontId="7" fillId="0" borderId="0" xfId="0" applyFont="1" applyAlignment="1">
      <alignment horizontal="left" vertical="center" indent="1"/>
    </xf>
    <xf numFmtId="0" fontId="7" fillId="0" borderId="111" xfId="0" applyFont="1" applyFill="1" applyBorder="1" applyAlignment="1">
      <alignment horizontal="left" vertical="center" indent="1"/>
    </xf>
    <xf numFmtId="0" fontId="7" fillId="0" borderId="0" xfId="0" applyFont="1" applyBorder="1" applyAlignment="1">
      <alignment horizontal="left" vertical="center" indent="1"/>
    </xf>
    <xf numFmtId="0" fontId="18" fillId="0" borderId="0" xfId="0" applyFont="1" applyBorder="1" applyAlignment="1">
      <alignment horizontal="center" vertical="center"/>
    </xf>
    <xf numFmtId="0" fontId="21" fillId="0" borderId="0" xfId="0" applyFont="1" applyFill="1" applyBorder="1" applyAlignment="1">
      <alignment horizontal="left" vertical="center" indent="1"/>
    </xf>
    <xf numFmtId="0" fontId="7" fillId="0" borderId="0" xfId="0" applyFont="1" applyFill="1" applyBorder="1" applyAlignment="1">
      <alignment horizontal="left" vertical="center" indent="1"/>
    </xf>
    <xf numFmtId="0" fontId="21" fillId="0" borderId="0" xfId="0" applyFont="1" applyBorder="1" applyAlignment="1">
      <alignment horizontal="left" vertical="center" indent="1"/>
    </xf>
    <xf numFmtId="9" fontId="21" fillId="0" borderId="0" xfId="0" applyNumberFormat="1" applyFont="1" applyAlignment="1">
      <alignment vertical="center"/>
    </xf>
    <xf numFmtId="0" fontId="52" fillId="0" borderId="0" xfId="0" applyFont="1" applyAlignment="1">
      <alignment vertical="center"/>
    </xf>
    <xf numFmtId="3" fontId="63" fillId="5" borderId="116" xfId="0" applyNumberFormat="1" applyFont="1" applyFill="1" applyBorder="1" applyAlignment="1">
      <alignment horizontal="center" vertical="center"/>
    </xf>
    <xf numFmtId="3" fontId="63" fillId="8" borderId="0" xfId="0" applyNumberFormat="1" applyFont="1" applyFill="1" applyBorder="1" applyAlignment="1">
      <alignment horizontal="center" vertical="center"/>
    </xf>
    <xf numFmtId="3" fontId="63" fillId="8" borderId="141" xfId="0" applyNumberFormat="1" applyFont="1" applyFill="1" applyBorder="1" applyAlignment="1">
      <alignment horizontal="center" vertical="center"/>
    </xf>
    <xf numFmtId="3" fontId="63" fillId="5" borderId="121" xfId="0" applyNumberFormat="1" applyFont="1" applyFill="1" applyBorder="1" applyAlignment="1">
      <alignment horizontal="center" vertical="center"/>
    </xf>
    <xf numFmtId="3" fontId="63" fillId="4" borderId="121" xfId="0" applyNumberFormat="1" applyFont="1" applyFill="1" applyBorder="1" applyAlignment="1">
      <alignment horizontal="center" vertical="center"/>
    </xf>
    <xf numFmtId="3" fontId="63" fillId="4" borderId="116" xfId="0" applyNumberFormat="1" applyFont="1" applyFill="1" applyBorder="1" applyAlignment="1">
      <alignment horizontal="center" vertical="center"/>
    </xf>
    <xf numFmtId="3" fontId="63" fillId="0" borderId="121" xfId="0" applyNumberFormat="1" applyFont="1" applyBorder="1" applyAlignment="1">
      <alignment horizontal="center" vertical="center"/>
    </xf>
    <xf numFmtId="0" fontId="7" fillId="0" borderId="170" xfId="0" applyFont="1" applyBorder="1" applyAlignment="1">
      <alignment vertical="center"/>
    </xf>
    <xf numFmtId="0" fontId="7" fillId="0" borderId="202" xfId="0" applyFont="1" applyBorder="1" applyAlignment="1">
      <alignment vertical="center"/>
    </xf>
    <xf numFmtId="0" fontId="2" fillId="0" borderId="75" xfId="0" applyFont="1" applyFill="1" applyBorder="1" applyAlignment="1">
      <alignment vertical="center"/>
    </xf>
    <xf numFmtId="0" fontId="2" fillId="0" borderId="90" xfId="0" applyFont="1" applyFill="1" applyBorder="1" applyAlignment="1">
      <alignment vertical="center"/>
    </xf>
    <xf numFmtId="3" fontId="4" fillId="5" borderId="121" xfId="0" applyNumberFormat="1" applyFont="1" applyFill="1" applyBorder="1" applyAlignment="1">
      <alignment horizontal="center" vertical="center"/>
    </xf>
    <xf numFmtId="165" fontId="4" fillId="0" borderId="95" xfId="0" applyNumberFormat="1" applyFont="1" applyFill="1" applyBorder="1" applyAlignment="1">
      <alignment horizontal="center" vertical="center"/>
    </xf>
    <xf numFmtId="165" fontId="4" fillId="0" borderId="113" xfId="0" applyNumberFormat="1" applyFont="1" applyFill="1" applyBorder="1" applyAlignment="1">
      <alignment horizontal="center" vertical="center"/>
    </xf>
    <xf numFmtId="165" fontId="56" fillId="0" borderId="113" xfId="0" applyNumberFormat="1" applyFont="1" applyFill="1" applyBorder="1" applyAlignment="1">
      <alignment horizontal="center" vertical="center"/>
    </xf>
    <xf numFmtId="165" fontId="4" fillId="0" borderId="136" xfId="1" applyNumberFormat="1" applyFont="1" applyFill="1" applyBorder="1" applyAlignment="1" applyProtection="1">
      <alignment horizontal="center" vertical="center"/>
    </xf>
    <xf numFmtId="165" fontId="4" fillId="0" borderId="113" xfId="1" applyNumberFormat="1" applyFont="1" applyFill="1" applyBorder="1" applyAlignment="1" applyProtection="1">
      <alignment horizontal="center" vertical="center"/>
    </xf>
    <xf numFmtId="165" fontId="56" fillId="0" borderId="106" xfId="0" applyNumberFormat="1" applyFont="1" applyFill="1" applyBorder="1" applyAlignment="1">
      <alignment horizontal="center" vertical="center"/>
    </xf>
    <xf numFmtId="3" fontId="4" fillId="5" borderId="120" xfId="0" applyNumberFormat="1" applyFont="1" applyFill="1" applyBorder="1" applyAlignment="1">
      <alignment horizontal="center" vertical="center"/>
    </xf>
    <xf numFmtId="165" fontId="5" fillId="0" borderId="169" xfId="1" applyNumberFormat="1" applyFont="1" applyFill="1" applyBorder="1" applyAlignment="1" applyProtection="1">
      <alignment horizontal="center" vertical="center"/>
    </xf>
    <xf numFmtId="165" fontId="4" fillId="0" borderId="106" xfId="0" applyNumberFormat="1" applyFont="1" applyFill="1" applyBorder="1" applyAlignment="1">
      <alignment horizontal="center" vertical="center"/>
    </xf>
    <xf numFmtId="3" fontId="4" fillId="5" borderId="117" xfId="0" applyNumberFormat="1" applyFont="1" applyFill="1" applyBorder="1" applyAlignment="1">
      <alignment horizontal="center" vertical="center"/>
    </xf>
    <xf numFmtId="3" fontId="5" fillId="0" borderId="104" xfId="0" applyNumberFormat="1" applyFont="1" applyFill="1" applyBorder="1" applyAlignment="1" applyProtection="1">
      <alignment horizontal="center" vertical="center"/>
    </xf>
    <xf numFmtId="3" fontId="5" fillId="0" borderId="125" xfId="0" applyNumberFormat="1" applyFont="1" applyFill="1" applyBorder="1" applyAlignment="1" applyProtection="1">
      <alignment horizontal="center" vertical="center"/>
    </xf>
    <xf numFmtId="165" fontId="13" fillId="0" borderId="98" xfId="0" applyNumberFormat="1" applyFont="1" applyFill="1" applyBorder="1" applyAlignment="1">
      <alignment horizontal="center" vertical="center"/>
    </xf>
    <xf numFmtId="165" fontId="13" fillId="0" borderId="125" xfId="0" applyNumberFormat="1" applyFont="1" applyFill="1" applyBorder="1" applyAlignment="1">
      <alignment horizontal="center" vertical="center"/>
    </xf>
    <xf numFmtId="0" fontId="12" fillId="0" borderId="167" xfId="0" applyFont="1" applyBorder="1" applyAlignment="1">
      <alignment vertical="center"/>
    </xf>
    <xf numFmtId="0" fontId="12" fillId="0" borderId="119" xfId="0" applyFont="1" applyBorder="1" applyAlignment="1">
      <alignment vertical="center"/>
    </xf>
    <xf numFmtId="3" fontId="4" fillId="5" borderId="122" xfId="0" applyNumberFormat="1" applyFont="1" applyFill="1" applyBorder="1" applyAlignment="1">
      <alignment horizontal="center" vertical="center"/>
    </xf>
    <xf numFmtId="3" fontId="4" fillId="5" borderId="115" xfId="0" applyNumberFormat="1" applyFont="1" applyFill="1" applyBorder="1" applyAlignment="1">
      <alignment horizontal="center" vertical="center"/>
    </xf>
    <xf numFmtId="0" fontId="12" fillId="0" borderId="83" xfId="0" applyFont="1" applyBorder="1" applyAlignment="1">
      <alignment vertical="center"/>
    </xf>
    <xf numFmtId="0" fontId="12" fillId="0" borderId="168" xfId="0" applyFont="1" applyBorder="1" applyAlignment="1">
      <alignment vertical="center"/>
    </xf>
    <xf numFmtId="0" fontId="12" fillId="0" borderId="75" xfId="0" applyFont="1" applyBorder="1" applyAlignment="1">
      <alignment vertical="center"/>
    </xf>
    <xf numFmtId="3" fontId="63" fillId="5" borderId="117" xfId="0" applyNumberFormat="1" applyFont="1" applyFill="1" applyBorder="1" applyAlignment="1">
      <alignment horizontal="center" vertical="center"/>
    </xf>
    <xf numFmtId="3" fontId="63" fillId="5" borderId="75" xfId="0" applyNumberFormat="1" applyFont="1" applyFill="1" applyBorder="1" applyAlignment="1">
      <alignment horizontal="center" vertical="center"/>
    </xf>
    <xf numFmtId="165" fontId="64" fillId="0" borderId="113" xfId="0" applyNumberFormat="1" applyFont="1" applyFill="1" applyBorder="1" applyAlignment="1">
      <alignment horizontal="center" vertical="center"/>
    </xf>
    <xf numFmtId="0" fontId="65" fillId="0" borderId="83" xfId="0" applyFont="1" applyFill="1" applyBorder="1" applyAlignment="1">
      <alignment horizontal="left" vertical="center"/>
    </xf>
    <xf numFmtId="165" fontId="66" fillId="0" borderId="113" xfId="0" applyNumberFormat="1" applyFont="1" applyFill="1" applyBorder="1" applyAlignment="1">
      <alignment horizontal="center" vertical="center"/>
    </xf>
    <xf numFmtId="0" fontId="67" fillId="0" borderId="0" xfId="0" applyFont="1" applyAlignment="1">
      <alignment vertical="center"/>
    </xf>
    <xf numFmtId="3" fontId="66" fillId="4" borderId="121" xfId="0" applyNumberFormat="1" applyFont="1" applyFill="1" applyBorder="1" applyAlignment="1">
      <alignment horizontal="center" vertical="center"/>
    </xf>
    <xf numFmtId="1" fontId="17" fillId="0" borderId="121" xfId="0" applyNumberFormat="1" applyFont="1" applyBorder="1" applyAlignment="1">
      <alignment horizontal="center" vertical="center"/>
    </xf>
    <xf numFmtId="0" fontId="17" fillId="0" borderId="95" xfId="0" applyFont="1" applyFill="1" applyBorder="1" applyAlignment="1">
      <alignment horizontal="center" vertical="center"/>
    </xf>
    <xf numFmtId="0" fontId="17" fillId="0" borderId="117" xfId="0" applyFont="1" applyBorder="1" applyAlignment="1">
      <alignment horizontal="center" vertical="center"/>
    </xf>
    <xf numFmtId="49" fontId="17" fillId="0" borderId="115" xfId="0" applyNumberFormat="1" applyFont="1" applyFill="1" applyBorder="1" applyAlignment="1">
      <alignment horizontal="center" vertical="center"/>
    </xf>
    <xf numFmtId="3" fontId="7" fillId="0" borderId="122" xfId="0" applyNumberFormat="1" applyFont="1" applyFill="1" applyBorder="1" applyAlignment="1">
      <alignment horizontal="center" vertical="center"/>
    </xf>
    <xf numFmtId="0" fontId="7" fillId="0" borderId="121" xfId="0" applyFont="1" applyFill="1" applyBorder="1" applyAlignment="1">
      <alignment horizontal="center" vertical="center"/>
    </xf>
    <xf numFmtId="3" fontId="7" fillId="0" borderId="114" xfId="0" applyNumberFormat="1" applyFont="1" applyFill="1" applyBorder="1" applyAlignment="1">
      <alignment horizontal="center" vertical="center"/>
    </xf>
    <xf numFmtId="3" fontId="17" fillId="0" borderId="113" xfId="0" applyNumberFormat="1" applyFont="1" applyFill="1" applyBorder="1" applyAlignment="1">
      <alignment horizontal="center" vertical="center"/>
    </xf>
    <xf numFmtId="3" fontId="7" fillId="0" borderId="123" xfId="0" applyNumberFormat="1" applyFont="1" applyFill="1" applyBorder="1" applyAlignment="1">
      <alignment horizontal="center" vertical="center"/>
    </xf>
    <xf numFmtId="3" fontId="17" fillId="0" borderId="121" xfId="0" applyNumberFormat="1" applyFont="1" applyFill="1" applyBorder="1" applyAlignment="1">
      <alignment horizontal="center" vertical="center"/>
    </xf>
    <xf numFmtId="3" fontId="7" fillId="0" borderId="95" xfId="0" applyNumberFormat="1" applyFont="1" applyFill="1" applyBorder="1" applyAlignment="1">
      <alignment horizontal="center" vertical="center"/>
    </xf>
    <xf numFmtId="0" fontId="7" fillId="0" borderId="113" xfId="0" applyFont="1" applyFill="1" applyBorder="1" applyAlignment="1">
      <alignment horizontal="center" vertical="center"/>
    </xf>
    <xf numFmtId="3" fontId="7" fillId="8" borderId="122" xfId="0" applyNumberFormat="1" applyFont="1" applyFill="1" applyBorder="1" applyAlignment="1">
      <alignment horizontal="center" vertical="center"/>
    </xf>
    <xf numFmtId="3" fontId="7" fillId="8" borderId="120" xfId="0" applyNumberFormat="1" applyFont="1" applyFill="1" applyBorder="1" applyAlignment="1">
      <alignment horizontal="center" vertical="center"/>
    </xf>
    <xf numFmtId="3" fontId="7" fillId="8" borderId="121" xfId="0" applyNumberFormat="1" applyFont="1" applyFill="1" applyBorder="1" applyAlignment="1">
      <alignment horizontal="center" vertical="center"/>
    </xf>
    <xf numFmtId="3" fontId="63" fillId="8" borderId="121" xfId="0" applyNumberFormat="1" applyFont="1" applyFill="1" applyBorder="1" applyAlignment="1">
      <alignment horizontal="center" vertical="center"/>
    </xf>
    <xf numFmtId="0" fontId="7" fillId="0" borderId="110" xfId="0" applyFont="1" applyFill="1" applyBorder="1" applyAlignment="1">
      <alignment horizontal="left" vertical="center" indent="1"/>
    </xf>
    <xf numFmtId="0" fontId="4" fillId="0" borderId="39" xfId="0" applyFont="1" applyFill="1" applyBorder="1" applyAlignment="1">
      <alignment horizontal="left" vertical="center"/>
    </xf>
    <xf numFmtId="0" fontId="4" fillId="0" borderId="0" xfId="0" applyFont="1" applyFill="1" applyBorder="1" applyAlignment="1">
      <alignment horizontal="left" vertical="center"/>
    </xf>
    <xf numFmtId="172" fontId="12" fillId="0" borderId="96" xfId="2" applyNumberFormat="1" applyFont="1" applyBorder="1" applyAlignment="1">
      <alignment horizontal="center" vertical="center"/>
    </xf>
    <xf numFmtId="172" fontId="12" fillId="0" borderId="107" xfId="2" applyNumberFormat="1" applyFont="1" applyBorder="1" applyAlignment="1">
      <alignment horizontal="center" vertical="center"/>
    </xf>
    <xf numFmtId="172" fontId="12" fillId="0" borderId="208" xfId="2" applyNumberFormat="1" applyFont="1" applyBorder="1" applyAlignment="1">
      <alignment horizontal="center" vertical="center"/>
    </xf>
    <xf numFmtId="0" fontId="59" fillId="0" borderId="0" xfId="0" applyFont="1" applyAlignment="1">
      <alignment vertical="center"/>
    </xf>
    <xf numFmtId="0" fontId="42" fillId="0" borderId="0" xfId="0" applyFont="1" applyBorder="1" applyAlignment="1">
      <alignment vertical="center"/>
    </xf>
    <xf numFmtId="183" fontId="54" fillId="0" borderId="0"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72" fontId="7" fillId="0" borderId="0" xfId="2" applyNumberFormat="1" applyFont="1" applyBorder="1" applyAlignment="1">
      <alignment horizontal="center" vertical="center"/>
    </xf>
    <xf numFmtId="1" fontId="47" fillId="0" borderId="121" xfId="0" applyNumberFormat="1" applyFont="1" applyBorder="1" applyAlignment="1">
      <alignment horizontal="center" vertical="center"/>
    </xf>
    <xf numFmtId="1" fontId="47" fillId="0" borderId="116" xfId="0" applyNumberFormat="1" applyFont="1" applyBorder="1" applyAlignment="1">
      <alignment horizontal="center" vertical="center"/>
    </xf>
    <xf numFmtId="1" fontId="47" fillId="0" borderId="90" xfId="0" applyNumberFormat="1" applyFont="1" applyBorder="1" applyAlignment="1">
      <alignment horizontal="center" vertical="center"/>
    </xf>
    <xf numFmtId="0" fontId="47" fillId="0" borderId="121" xfId="0" applyFont="1" applyBorder="1" applyAlignment="1">
      <alignment horizontal="center" vertical="center"/>
    </xf>
    <xf numFmtId="0" fontId="47" fillId="0" borderId="116" xfId="0" applyFont="1" applyBorder="1" applyAlignment="1">
      <alignment horizontal="center" vertical="center"/>
    </xf>
    <xf numFmtId="0" fontId="4" fillId="0" borderId="41"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72" fillId="0" borderId="40" xfId="0" applyFont="1" applyBorder="1" applyAlignment="1">
      <alignment vertical="center"/>
    </xf>
    <xf numFmtId="0" fontId="72" fillId="0" borderId="0" xfId="0" applyFont="1" applyAlignment="1">
      <alignment vertical="center"/>
    </xf>
    <xf numFmtId="0" fontId="72" fillId="0" borderId="0" xfId="0" applyFont="1" applyFill="1" applyAlignment="1">
      <alignment vertical="center"/>
    </xf>
    <xf numFmtId="0" fontId="5" fillId="0" borderId="20" xfId="0" applyFont="1" applyFill="1" applyBorder="1" applyAlignment="1">
      <alignment vertical="center"/>
    </xf>
    <xf numFmtId="0" fontId="72" fillId="0" borderId="20" xfId="0" applyFont="1" applyFill="1" applyBorder="1" applyAlignment="1">
      <alignment vertical="center"/>
    </xf>
    <xf numFmtId="0" fontId="4" fillId="0" borderId="20" xfId="0" applyFont="1" applyFill="1" applyBorder="1" applyAlignment="1">
      <alignment vertical="center"/>
    </xf>
    <xf numFmtId="184" fontId="4" fillId="0" borderId="212" xfId="1" applyNumberFormat="1" applyFont="1" applyFill="1" applyBorder="1" applyAlignment="1" applyProtection="1">
      <alignment vertical="center"/>
    </xf>
    <xf numFmtId="165" fontId="4" fillId="0" borderId="212" xfId="1" applyNumberFormat="1" applyFont="1" applyFill="1" applyBorder="1" applyAlignment="1" applyProtection="1">
      <alignment horizontal="center" vertical="center"/>
    </xf>
    <xf numFmtId="165" fontId="4" fillId="0" borderId="34" xfId="1" applyNumberFormat="1" applyFont="1" applyFill="1" applyBorder="1" applyAlignment="1" applyProtection="1">
      <alignment horizontal="center" vertical="center"/>
    </xf>
    <xf numFmtId="165" fontId="4" fillId="0" borderId="40" xfId="1" applyNumberFormat="1" applyFont="1" applyFill="1" applyBorder="1" applyAlignment="1" applyProtection="1">
      <alignment horizontal="center" vertical="center"/>
    </xf>
    <xf numFmtId="165" fontId="72" fillId="0" borderId="20" xfId="0" applyNumberFormat="1" applyFont="1" applyFill="1" applyBorder="1" applyAlignment="1">
      <alignment vertical="center"/>
    </xf>
    <xf numFmtId="184" fontId="4" fillId="0" borderId="20" xfId="0" applyNumberFormat="1" applyFont="1" applyFill="1" applyBorder="1" applyAlignment="1" applyProtection="1">
      <alignment vertical="center"/>
    </xf>
    <xf numFmtId="184" fontId="4" fillId="0" borderId="20" xfId="0" applyNumberFormat="1" applyFont="1" applyFill="1" applyBorder="1" applyAlignment="1">
      <alignment vertical="center"/>
    </xf>
    <xf numFmtId="165" fontId="72" fillId="0" borderId="21" xfId="0" applyNumberFormat="1" applyFont="1" applyFill="1" applyBorder="1" applyAlignment="1">
      <alignment vertical="center"/>
    </xf>
    <xf numFmtId="165" fontId="5" fillId="0" borderId="41" xfId="0" applyNumberFormat="1" applyFont="1" applyFill="1" applyBorder="1" applyAlignment="1" applyProtection="1">
      <alignment horizontal="right" vertical="center"/>
    </xf>
    <xf numFmtId="165" fontId="5" fillId="0" borderId="42" xfId="0" applyNumberFormat="1" applyFont="1" applyFill="1" applyBorder="1" applyAlignment="1" applyProtection="1">
      <alignment horizontal="right" vertical="center"/>
    </xf>
    <xf numFmtId="165" fontId="5" fillId="0" borderId="38" xfId="0" applyNumberFormat="1" applyFont="1" applyFill="1" applyBorder="1" applyAlignment="1" applyProtection="1">
      <alignment horizontal="right" vertical="center"/>
    </xf>
    <xf numFmtId="184" fontId="5" fillId="0" borderId="20" xfId="1" applyNumberFormat="1" applyFont="1" applyFill="1" applyBorder="1" applyAlignment="1" applyProtection="1">
      <alignment vertical="center"/>
    </xf>
    <xf numFmtId="165" fontId="5" fillId="0" borderId="25" xfId="0" applyNumberFormat="1" applyFont="1" applyFill="1" applyBorder="1" applyAlignment="1" applyProtection="1">
      <alignment horizontal="right" vertical="center"/>
    </xf>
    <xf numFmtId="0" fontId="72" fillId="0" borderId="0" xfId="0" applyFont="1" applyBorder="1" applyAlignment="1">
      <alignment horizontal="left" vertical="center"/>
    </xf>
    <xf numFmtId="0" fontId="72" fillId="0" borderId="0" xfId="0" applyFont="1" applyBorder="1" applyAlignment="1">
      <alignment vertical="center"/>
    </xf>
    <xf numFmtId="165" fontId="4" fillId="8" borderId="212" xfId="1" applyNumberFormat="1" applyFont="1" applyFill="1" applyBorder="1" applyAlignment="1" applyProtection="1">
      <alignment vertical="center"/>
      <protection locked="0"/>
    </xf>
    <xf numFmtId="165" fontId="4" fillId="8" borderId="34" xfId="1" applyNumberFormat="1" applyFont="1" applyFill="1" applyBorder="1" applyAlignment="1" applyProtection="1">
      <alignment vertical="center"/>
      <protection locked="0"/>
    </xf>
    <xf numFmtId="165" fontId="4" fillId="8" borderId="40" xfId="1" applyNumberFormat="1" applyFont="1" applyFill="1" applyBorder="1" applyAlignment="1" applyProtection="1">
      <alignment vertical="center"/>
      <protection locked="0"/>
    </xf>
    <xf numFmtId="185" fontId="4" fillId="8" borderId="46" xfId="1" applyNumberFormat="1" applyFont="1" applyFill="1" applyBorder="1" applyAlignment="1" applyProtection="1">
      <alignment vertical="center"/>
      <protection locked="0"/>
    </xf>
    <xf numFmtId="184" fontId="4" fillId="8" borderId="212" xfId="1" applyNumberFormat="1" applyFont="1" applyFill="1" applyBorder="1" applyAlignment="1" applyProtection="1">
      <alignment vertical="center"/>
      <protection locked="0"/>
    </xf>
    <xf numFmtId="184" fontId="4" fillId="8" borderId="34" xfId="1" applyNumberFormat="1" applyFont="1" applyFill="1" applyBorder="1" applyAlignment="1" applyProtection="1">
      <alignment vertical="center"/>
      <protection locked="0"/>
    </xf>
    <xf numFmtId="184" fontId="4" fillId="8" borderId="40" xfId="1" applyNumberFormat="1" applyFont="1" applyFill="1" applyBorder="1" applyAlignment="1" applyProtection="1">
      <alignment vertical="center"/>
      <protection locked="0"/>
    </xf>
    <xf numFmtId="165" fontId="4" fillId="5" borderId="36" xfId="1" applyNumberFormat="1" applyFont="1" applyFill="1" applyBorder="1" applyAlignment="1" applyProtection="1">
      <alignment vertical="center"/>
      <protection locked="0"/>
    </xf>
    <xf numFmtId="184" fontId="4" fillId="5" borderId="36" xfId="1" applyNumberFormat="1" applyFont="1" applyFill="1" applyBorder="1" applyAlignment="1" applyProtection="1">
      <alignment vertical="center"/>
      <protection locked="0"/>
    </xf>
    <xf numFmtId="1" fontId="74" fillId="0" borderId="41" xfId="0" applyNumberFormat="1" applyFont="1" applyFill="1" applyBorder="1" applyAlignment="1" applyProtection="1">
      <alignment horizontal="center" vertical="center" wrapText="1"/>
    </xf>
    <xf numFmtId="1" fontId="74" fillId="0" borderId="42" xfId="0" applyNumberFormat="1" applyFont="1" applyFill="1" applyBorder="1" applyAlignment="1" applyProtection="1">
      <alignment horizontal="center" vertical="center" wrapText="1"/>
    </xf>
    <xf numFmtId="1" fontId="74" fillId="0" borderId="38" xfId="0" applyNumberFormat="1" applyFont="1" applyFill="1" applyBorder="1" applyAlignment="1" applyProtection="1">
      <alignment horizontal="center" vertical="center" wrapText="1"/>
    </xf>
    <xf numFmtId="0" fontId="3" fillId="0" borderId="23" xfId="0" applyFont="1" applyFill="1" applyBorder="1" applyAlignment="1">
      <alignment vertical="center"/>
    </xf>
    <xf numFmtId="0" fontId="3" fillId="0" borderId="35" xfId="0" applyFont="1" applyFill="1" applyBorder="1" applyAlignment="1">
      <alignment horizontal="right" vertical="center"/>
    </xf>
    <xf numFmtId="0" fontId="71" fillId="0" borderId="22" xfId="0" applyFont="1" applyFill="1" applyBorder="1" applyAlignment="1" applyProtection="1">
      <alignment horizontal="right" vertical="center"/>
    </xf>
    <xf numFmtId="184" fontId="5" fillId="0" borderId="25" xfId="1" applyNumberFormat="1" applyFont="1" applyFill="1" applyBorder="1" applyAlignment="1" applyProtection="1">
      <alignment vertical="center"/>
    </xf>
    <xf numFmtId="184" fontId="5" fillId="0" borderId="30" xfId="1" applyNumberFormat="1" applyFont="1" applyFill="1" applyBorder="1" applyAlignment="1" applyProtection="1">
      <alignment vertical="center"/>
    </xf>
    <xf numFmtId="184" fontId="4" fillId="0" borderId="213" xfId="1" applyNumberFormat="1" applyFont="1" applyFill="1" applyBorder="1" applyAlignment="1" applyProtection="1">
      <alignment vertical="center"/>
    </xf>
    <xf numFmtId="165" fontId="5" fillId="0" borderId="30" xfId="0" applyNumberFormat="1" applyFont="1" applyFill="1" applyBorder="1" applyAlignment="1" applyProtection="1">
      <alignment horizontal="right" vertical="center"/>
    </xf>
    <xf numFmtId="165" fontId="5" fillId="0" borderId="217" xfId="0" applyNumberFormat="1" applyFont="1" applyFill="1" applyBorder="1" applyAlignment="1" applyProtection="1">
      <alignment horizontal="right" vertical="center"/>
    </xf>
    <xf numFmtId="14" fontId="76" fillId="0" borderId="20" xfId="0" applyNumberFormat="1" applyFont="1" applyFill="1" applyBorder="1" applyAlignment="1" applyProtection="1">
      <alignment vertical="center"/>
    </xf>
    <xf numFmtId="14" fontId="76" fillId="0" borderId="21" xfId="0" applyNumberFormat="1" applyFont="1" applyFill="1" applyBorder="1" applyAlignment="1" applyProtection="1">
      <alignment vertical="center"/>
    </xf>
    <xf numFmtId="3" fontId="4" fillId="0" borderId="121" xfId="0" applyNumberFormat="1" applyFont="1" applyFill="1" applyBorder="1" applyAlignment="1">
      <alignment horizontal="center" vertical="center"/>
    </xf>
    <xf numFmtId="0" fontId="17" fillId="0" borderId="122" xfId="0" applyFont="1" applyFill="1" applyBorder="1" applyAlignment="1">
      <alignment horizontal="center" vertical="center"/>
    </xf>
    <xf numFmtId="0" fontId="17" fillId="0" borderId="218" xfId="0" applyFont="1" applyFill="1" applyBorder="1" applyAlignment="1">
      <alignment horizontal="center" vertical="center"/>
    </xf>
    <xf numFmtId="1" fontId="47" fillId="0" borderId="40" xfId="0" applyNumberFormat="1" applyFont="1" applyBorder="1" applyAlignment="1">
      <alignment horizontal="center" vertical="center"/>
    </xf>
    <xf numFmtId="0" fontId="17" fillId="0" borderId="40" xfId="0" applyFont="1" applyBorder="1" applyAlignment="1">
      <alignment horizontal="center" vertical="center"/>
    </xf>
    <xf numFmtId="9" fontId="7" fillId="0" borderId="40" xfId="2" applyFont="1" applyFill="1" applyBorder="1" applyAlignment="1">
      <alignment horizontal="center" vertical="center"/>
    </xf>
    <xf numFmtId="3" fontId="7" fillId="4" borderId="219" xfId="0" applyNumberFormat="1" applyFont="1" applyFill="1" applyBorder="1" applyAlignment="1">
      <alignment horizontal="center" vertical="center"/>
    </xf>
    <xf numFmtId="0" fontId="7" fillId="0" borderId="40" xfId="0" applyFont="1" applyBorder="1" applyAlignment="1">
      <alignment horizontal="center" vertical="center"/>
    </xf>
    <xf numFmtId="3" fontId="7" fillId="6" borderId="220" xfId="0" applyNumberFormat="1" applyFont="1" applyFill="1" applyBorder="1" applyAlignment="1">
      <alignment horizontal="center" vertical="center"/>
    </xf>
    <xf numFmtId="3" fontId="7" fillId="0" borderId="40" xfId="0" applyNumberFormat="1" applyFont="1" applyBorder="1" applyAlignment="1">
      <alignment horizontal="center" vertical="center"/>
    </xf>
    <xf numFmtId="3" fontId="63" fillId="4" borderId="40" xfId="0" applyNumberFormat="1" applyFont="1" applyFill="1" applyBorder="1" applyAlignment="1">
      <alignment horizontal="center" vertical="center"/>
    </xf>
    <xf numFmtId="3" fontId="63" fillId="0" borderId="40" xfId="0" applyNumberFormat="1" applyFont="1" applyBorder="1" applyAlignment="1">
      <alignment horizontal="center" vertical="center"/>
    </xf>
    <xf numFmtId="3" fontId="17" fillId="0" borderId="40" xfId="0" applyNumberFormat="1" applyFont="1" applyBorder="1" applyAlignment="1">
      <alignment horizontal="center" vertical="center"/>
    </xf>
    <xf numFmtId="0" fontId="21" fillId="0" borderId="40" xfId="0" applyFont="1" applyBorder="1" applyAlignment="1">
      <alignment vertical="center"/>
    </xf>
    <xf numFmtId="3" fontId="7" fillId="8" borderId="115" xfId="0" applyNumberFormat="1" applyFont="1" applyFill="1" applyBorder="1" applyAlignment="1">
      <alignment horizontal="center" vertical="center"/>
    </xf>
    <xf numFmtId="3" fontId="7" fillId="8" borderId="76" xfId="0" applyNumberFormat="1" applyFont="1" applyFill="1" applyBorder="1" applyAlignment="1">
      <alignment horizontal="center" vertical="center"/>
    </xf>
    <xf numFmtId="3" fontId="7" fillId="8" borderId="117" xfId="0" applyNumberFormat="1" applyFont="1" applyFill="1" applyBorder="1" applyAlignment="1">
      <alignment horizontal="center" vertical="center"/>
    </xf>
    <xf numFmtId="3" fontId="7" fillId="8" borderId="79" xfId="0" applyNumberFormat="1" applyFont="1" applyFill="1" applyBorder="1" applyAlignment="1">
      <alignment horizontal="center" vertical="center"/>
    </xf>
    <xf numFmtId="3" fontId="7" fillId="8" borderId="116" xfId="0" applyNumberFormat="1" applyFont="1" applyFill="1" applyBorder="1" applyAlignment="1">
      <alignment horizontal="center" vertical="center"/>
    </xf>
    <xf numFmtId="3" fontId="7" fillId="8" borderId="90" xfId="0" applyNumberFormat="1" applyFont="1" applyFill="1" applyBorder="1" applyAlignment="1">
      <alignment horizontal="center" vertical="center"/>
    </xf>
    <xf numFmtId="3" fontId="63" fillId="8" borderId="116" xfId="0" applyNumberFormat="1" applyFont="1" applyFill="1" applyBorder="1" applyAlignment="1">
      <alignment horizontal="center" vertical="center"/>
    </xf>
    <xf numFmtId="3" fontId="63" fillId="8" borderId="90" xfId="0" applyNumberFormat="1" applyFont="1" applyFill="1" applyBorder="1" applyAlignment="1">
      <alignment horizontal="center" vertical="center"/>
    </xf>
    <xf numFmtId="0" fontId="42" fillId="0" borderId="0" xfId="0" applyFont="1" applyBorder="1" applyAlignment="1">
      <alignment horizontal="center" vertical="center"/>
    </xf>
    <xf numFmtId="0" fontId="36" fillId="0" borderId="205" xfId="0" applyFont="1" applyFill="1" applyBorder="1" applyAlignment="1">
      <alignment horizontal="center" vertical="center"/>
    </xf>
    <xf numFmtId="0" fontId="36" fillId="0" borderId="205" xfId="0" applyFont="1" applyBorder="1" applyAlignment="1">
      <alignment vertical="center"/>
    </xf>
    <xf numFmtId="0" fontId="5" fillId="0" borderId="24" xfId="0" applyFont="1" applyFill="1" applyBorder="1" applyAlignment="1">
      <alignment horizontal="right" vertical="center"/>
    </xf>
    <xf numFmtId="0" fontId="72" fillId="0" borderId="0" xfId="0" applyFont="1" applyFill="1" applyBorder="1" applyAlignment="1">
      <alignment vertical="center"/>
    </xf>
    <xf numFmtId="0" fontId="5" fillId="0" borderId="25" xfId="0" applyFont="1" applyFill="1" applyBorder="1" applyAlignment="1">
      <alignment horizontal="center" vertical="center"/>
    </xf>
    <xf numFmtId="0" fontId="5" fillId="0" borderId="31" xfId="0" applyFont="1" applyFill="1" applyBorder="1" applyAlignment="1">
      <alignment horizontal="center" vertical="center"/>
    </xf>
    <xf numFmtId="0" fontId="7" fillId="0" borderId="25"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2" fillId="0" borderId="35" xfId="0" applyFont="1" applyFill="1" applyBorder="1" applyAlignment="1">
      <alignment horizontal="left" vertical="center"/>
    </xf>
    <xf numFmtId="164" fontId="4" fillId="0" borderId="212" xfId="1" applyNumberFormat="1" applyFont="1" applyFill="1" applyBorder="1" applyAlignment="1" applyProtection="1">
      <alignment vertical="center"/>
    </xf>
    <xf numFmtId="164" fontId="4" fillId="0" borderId="34" xfId="1" applyNumberFormat="1" applyFont="1" applyFill="1" applyBorder="1" applyAlignment="1" applyProtection="1">
      <alignment vertical="center"/>
    </xf>
    <xf numFmtId="164" fontId="4" fillId="0" borderId="40" xfId="1" applyNumberFormat="1" applyFont="1" applyFill="1" applyBorder="1" applyAlignment="1" applyProtection="1">
      <alignment vertical="center"/>
    </xf>
    <xf numFmtId="0" fontId="72" fillId="0" borderId="36" xfId="0" applyFont="1" applyFill="1" applyBorder="1" applyAlignment="1">
      <alignment horizontal="left" vertical="center"/>
    </xf>
    <xf numFmtId="164" fontId="4" fillId="0" borderId="212" xfId="1" applyNumberFormat="1" applyFont="1" applyFill="1" applyBorder="1" applyAlignment="1" applyProtection="1">
      <alignment vertical="center"/>
      <protection locked="0"/>
    </xf>
    <xf numFmtId="164" fontId="4" fillId="0" borderId="34" xfId="1" applyNumberFormat="1" applyFont="1" applyFill="1" applyBorder="1" applyAlignment="1" applyProtection="1">
      <alignment vertical="center"/>
      <protection locked="0"/>
    </xf>
    <xf numFmtId="164" fontId="4" fillId="0" borderId="40" xfId="1" applyNumberFormat="1" applyFont="1" applyFill="1" applyBorder="1" applyAlignment="1" applyProtection="1">
      <alignment vertical="center"/>
      <protection locked="0"/>
    </xf>
    <xf numFmtId="188" fontId="4" fillId="0" borderId="212" xfId="1" applyNumberFormat="1" applyFont="1" applyFill="1" applyBorder="1" applyAlignment="1" applyProtection="1">
      <alignment vertical="center"/>
    </xf>
    <xf numFmtId="188" fontId="4" fillId="0" borderId="34" xfId="1" applyNumberFormat="1" applyFont="1" applyFill="1" applyBorder="1" applyAlignment="1" applyProtection="1">
      <alignment vertical="center"/>
    </xf>
    <xf numFmtId="188" fontId="4" fillId="0" borderId="40" xfId="1" applyNumberFormat="1" applyFont="1" applyFill="1" applyBorder="1" applyAlignment="1" applyProtection="1">
      <alignment vertical="center"/>
    </xf>
    <xf numFmtId="164" fontId="5" fillId="0" borderId="25" xfId="1" applyNumberFormat="1" applyFont="1" applyFill="1" applyBorder="1" applyAlignment="1" applyProtection="1">
      <alignment vertical="center"/>
    </xf>
    <xf numFmtId="164" fontId="5" fillId="0" borderId="31" xfId="1" applyNumberFormat="1" applyFont="1" applyFill="1" applyBorder="1" applyAlignment="1" applyProtection="1">
      <alignment vertical="center"/>
    </xf>
    <xf numFmtId="164" fontId="5" fillId="0" borderId="21" xfId="1" applyNumberFormat="1" applyFont="1" applyFill="1" applyBorder="1" applyAlignment="1" applyProtection="1">
      <alignment vertical="center"/>
    </xf>
    <xf numFmtId="164" fontId="4" fillId="8" borderId="212" xfId="1" applyNumberFormat="1" applyFont="1" applyFill="1" applyBorder="1" applyAlignment="1" applyProtection="1">
      <alignment vertical="center"/>
      <protection locked="0"/>
    </xf>
    <xf numFmtId="164" fontId="4" fillId="8" borderId="34" xfId="1" applyNumberFormat="1" applyFont="1" applyFill="1" applyBorder="1" applyAlignment="1" applyProtection="1">
      <alignment vertical="center"/>
      <protection locked="0"/>
    </xf>
    <xf numFmtId="164" fontId="4" fillId="8" borderId="40" xfId="1" applyNumberFormat="1" applyFont="1" applyFill="1" applyBorder="1" applyAlignment="1" applyProtection="1">
      <alignment vertical="center"/>
      <protection locked="0"/>
    </xf>
    <xf numFmtId="186" fontId="7" fillId="8" borderId="44" xfId="0" applyNumberFormat="1" applyFont="1" applyFill="1" applyBorder="1" applyAlignment="1" applyProtection="1">
      <alignment horizontal="center" vertical="center"/>
      <protection locked="0"/>
    </xf>
    <xf numFmtId="186" fontId="7" fillId="8" borderId="43" xfId="0" applyNumberFormat="1" applyFont="1" applyFill="1" applyBorder="1" applyAlignment="1" applyProtection="1">
      <alignment horizontal="center" vertical="center"/>
      <protection locked="0"/>
    </xf>
    <xf numFmtId="0" fontId="72" fillId="0" borderId="24" xfId="0" applyFont="1" applyFill="1" applyBorder="1" applyAlignment="1">
      <alignment horizontal="left" vertical="center"/>
    </xf>
    <xf numFmtId="164" fontId="4" fillId="0" borderId="44" xfId="1" applyNumberFormat="1" applyFont="1" applyFill="1" applyBorder="1" applyAlignment="1" applyProtection="1">
      <alignment vertical="center"/>
    </xf>
    <xf numFmtId="164" fontId="4" fillId="0" borderId="43" xfId="1" applyNumberFormat="1" applyFont="1" applyFill="1" applyBorder="1" applyAlignment="1" applyProtection="1">
      <alignment vertical="center"/>
    </xf>
    <xf numFmtId="164" fontId="4" fillId="0" borderId="41" xfId="1" applyNumberFormat="1" applyFont="1" applyFill="1" applyBorder="1" applyAlignment="1" applyProtection="1">
      <alignment horizontal="right" vertical="center"/>
    </xf>
    <xf numFmtId="164" fontId="4" fillId="0" borderId="212" xfId="1" applyNumberFormat="1" applyFont="1" applyFill="1" applyBorder="1" applyAlignment="1" applyProtection="1">
      <alignment horizontal="right" vertical="center"/>
    </xf>
    <xf numFmtId="164" fontId="4" fillId="8" borderId="212" xfId="1" applyNumberFormat="1" applyFont="1" applyFill="1" applyBorder="1" applyAlignment="1" applyProtection="1">
      <alignment horizontal="right" vertical="center"/>
      <protection locked="0"/>
    </xf>
    <xf numFmtId="164" fontId="4" fillId="8" borderId="46" xfId="1" applyNumberFormat="1" applyFont="1" applyFill="1" applyBorder="1" applyAlignment="1" applyProtection="1">
      <alignment horizontal="right" vertical="center"/>
      <protection locked="0"/>
    </xf>
    <xf numFmtId="164" fontId="4" fillId="8" borderId="40" xfId="1" applyNumberFormat="1" applyFont="1" applyFill="1" applyBorder="1" applyAlignment="1" applyProtection="1">
      <alignment horizontal="right" vertical="center"/>
      <protection locked="0"/>
    </xf>
    <xf numFmtId="164" fontId="5" fillId="0" borderId="25" xfId="1" applyNumberFormat="1" applyFont="1" applyFill="1" applyBorder="1" applyAlignment="1" applyProtection="1">
      <alignment horizontal="right" vertical="center"/>
    </xf>
    <xf numFmtId="164" fontId="5" fillId="0" borderId="30" xfId="1" applyNumberFormat="1" applyFont="1" applyFill="1" applyBorder="1" applyAlignment="1" applyProtection="1">
      <alignment horizontal="right" vertical="center"/>
    </xf>
    <xf numFmtId="164" fontId="5" fillId="0" borderId="21" xfId="1" applyNumberFormat="1" applyFont="1" applyFill="1" applyBorder="1" applyAlignment="1" applyProtection="1">
      <alignment horizontal="right" vertical="center"/>
    </xf>
    <xf numFmtId="0" fontId="7" fillId="0" borderId="37" xfId="0" applyFont="1" applyFill="1" applyBorder="1" applyAlignment="1">
      <alignment vertical="center"/>
    </xf>
    <xf numFmtId="0" fontId="43" fillId="0" borderId="39" xfId="0" applyFont="1" applyFill="1" applyBorder="1" applyAlignment="1">
      <alignment horizontal="left" vertical="center"/>
    </xf>
    <xf numFmtId="164" fontId="81" fillId="0" borderId="212" xfId="1" applyNumberFormat="1" applyFont="1" applyFill="1" applyBorder="1" applyAlignment="1" applyProtection="1">
      <alignment horizontal="right" vertical="center"/>
    </xf>
    <xf numFmtId="177" fontId="7" fillId="8" borderId="212" xfId="0" applyNumberFormat="1" applyFont="1" applyFill="1" applyBorder="1" applyAlignment="1" applyProtection="1">
      <alignment horizontal="right" vertical="center"/>
      <protection locked="0"/>
    </xf>
    <xf numFmtId="177" fontId="7" fillId="8" borderId="40" xfId="0" applyNumberFormat="1" applyFont="1" applyFill="1" applyBorder="1" applyAlignment="1" applyProtection="1">
      <alignment horizontal="right" vertical="center"/>
      <protection locked="0"/>
    </xf>
    <xf numFmtId="164" fontId="5" fillId="0" borderId="31" xfId="1" applyNumberFormat="1" applyFont="1" applyFill="1" applyBorder="1" applyAlignment="1" applyProtection="1">
      <alignment horizontal="right" vertical="center"/>
    </xf>
    <xf numFmtId="0" fontId="72" fillId="0" borderId="245" xfId="0" applyFont="1" applyFill="1" applyBorder="1" applyAlignment="1">
      <alignment horizontal="left" vertical="center"/>
    </xf>
    <xf numFmtId="0" fontId="7" fillId="8" borderId="249" xfId="0" applyFont="1" applyFill="1" applyBorder="1" applyAlignment="1" applyProtection="1">
      <alignment horizontal="center" vertical="center"/>
    </xf>
    <xf numFmtId="0" fontId="7" fillId="8" borderId="247" xfId="0" applyFont="1" applyFill="1" applyBorder="1" applyAlignment="1" applyProtection="1">
      <alignment horizontal="center" vertical="center"/>
    </xf>
    <xf numFmtId="186" fontId="7" fillId="8" borderId="236" xfId="0" applyNumberFormat="1" applyFont="1" applyFill="1" applyBorder="1" applyAlignment="1" applyProtection="1">
      <alignment horizontal="center" vertical="center"/>
      <protection locked="0"/>
    </xf>
    <xf numFmtId="186" fontId="7" fillId="8" borderId="237" xfId="0" applyNumberFormat="1" applyFont="1" applyFill="1" applyBorder="1" applyAlignment="1" applyProtection="1">
      <alignment horizontal="center" vertical="center"/>
      <protection locked="0"/>
    </xf>
    <xf numFmtId="187" fontId="7" fillId="8" borderId="236" xfId="0" applyNumberFormat="1" applyFont="1" applyFill="1" applyBorder="1" applyAlignment="1" applyProtection="1">
      <alignment horizontal="center" vertical="center"/>
      <protection locked="0"/>
    </xf>
    <xf numFmtId="187" fontId="7" fillId="8" borderId="237" xfId="0" applyNumberFormat="1" applyFont="1" applyFill="1" applyBorder="1" applyAlignment="1" applyProtection="1">
      <alignment horizontal="center" vertical="center"/>
      <protection locked="0"/>
    </xf>
    <xf numFmtId="10" fontId="7" fillId="8" borderId="236" xfId="0" applyNumberFormat="1" applyFont="1" applyFill="1" applyBorder="1" applyAlignment="1" applyProtection="1">
      <alignment horizontal="center" vertical="center"/>
      <protection locked="0"/>
    </xf>
    <xf numFmtId="10" fontId="7" fillId="8" borderId="237" xfId="0" applyNumberFormat="1"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xf>
    <xf numFmtId="164" fontId="4" fillId="8" borderId="42" xfId="1" applyNumberFormat="1" applyFont="1" applyFill="1" applyBorder="1" applyAlignment="1" applyProtection="1">
      <alignment vertical="center"/>
      <protection locked="0"/>
    </xf>
    <xf numFmtId="164" fontId="4" fillId="8" borderId="38" xfId="1" applyNumberFormat="1" applyFont="1" applyFill="1" applyBorder="1" applyAlignment="1" applyProtection="1">
      <alignment vertical="center"/>
      <protection locked="0"/>
    </xf>
    <xf numFmtId="0" fontId="7" fillId="8" borderId="236" xfId="0" applyFont="1" applyFill="1" applyBorder="1" applyAlignment="1" applyProtection="1">
      <alignment horizontal="center" vertical="center"/>
      <protection locked="0"/>
    </xf>
    <xf numFmtId="0" fontId="7" fillId="8" borderId="237" xfId="0" applyFont="1" applyFill="1" applyBorder="1" applyAlignment="1" applyProtection="1">
      <alignment horizontal="center" vertical="center"/>
      <protection locked="0"/>
    </xf>
    <xf numFmtId="164" fontId="4" fillId="8" borderId="232" xfId="1" applyNumberFormat="1" applyFont="1" applyFill="1" applyBorder="1" applyAlignment="1" applyProtection="1">
      <alignment vertical="center"/>
      <protection locked="0"/>
    </xf>
    <xf numFmtId="164" fontId="4" fillId="8" borderId="231" xfId="1" applyNumberFormat="1" applyFont="1" applyFill="1" applyBorder="1" applyAlignment="1" applyProtection="1">
      <alignment vertical="center"/>
      <protection locked="0"/>
    </xf>
    <xf numFmtId="0" fontId="21" fillId="0" borderId="0" xfId="0" applyFont="1" applyFill="1" applyBorder="1" applyAlignment="1">
      <alignment vertical="center" wrapText="1"/>
    </xf>
    <xf numFmtId="0" fontId="7" fillId="8" borderId="248" xfId="0" applyFont="1" applyFill="1" applyBorder="1" applyAlignment="1" applyProtection="1">
      <alignment horizontal="center" vertical="center"/>
    </xf>
    <xf numFmtId="186" fontId="7" fillId="8" borderId="242" xfId="0" applyNumberFormat="1" applyFont="1" applyFill="1" applyBorder="1" applyAlignment="1" applyProtection="1">
      <alignment horizontal="center" vertical="center"/>
      <protection locked="0"/>
    </xf>
    <xf numFmtId="187" fontId="7" fillId="8" borderId="242" xfId="0" applyNumberFormat="1" applyFont="1" applyFill="1" applyBorder="1" applyAlignment="1" applyProtection="1">
      <alignment horizontal="center" vertical="center"/>
      <protection locked="0"/>
    </xf>
    <xf numFmtId="10" fontId="7" fillId="8" borderId="242" xfId="0" applyNumberFormat="1" applyFont="1" applyFill="1" applyBorder="1" applyAlignment="1" applyProtection="1">
      <alignment horizontal="center" vertical="center"/>
      <protection locked="0"/>
    </xf>
    <xf numFmtId="0" fontId="7" fillId="8" borderId="242" xfId="0" applyFont="1" applyFill="1" applyBorder="1" applyAlignment="1" applyProtection="1">
      <alignment horizontal="center" vertical="center"/>
      <protection locked="0"/>
    </xf>
    <xf numFmtId="186" fontId="7" fillId="8" borderId="32" xfId="0" applyNumberFormat="1" applyFont="1" applyFill="1" applyBorder="1" applyAlignment="1" applyProtection="1">
      <alignment horizontal="center" vertical="center"/>
      <protection locked="0"/>
    </xf>
    <xf numFmtId="164" fontId="4" fillId="8" borderId="233" xfId="1" applyNumberFormat="1" applyFont="1" applyFill="1" applyBorder="1" applyAlignment="1" applyProtection="1">
      <alignment vertical="center"/>
      <protection locked="0"/>
    </xf>
    <xf numFmtId="0" fontId="85" fillId="0" borderId="0" xfId="0" applyFont="1" applyAlignment="1">
      <alignment vertical="center"/>
    </xf>
    <xf numFmtId="0" fontId="40" fillId="0" borderId="0" xfId="0" applyFont="1" applyAlignment="1">
      <alignment vertical="center"/>
    </xf>
    <xf numFmtId="0" fontId="86" fillId="0" borderId="0" xfId="0" applyFont="1" applyAlignment="1">
      <alignment horizontal="left" vertical="center" wrapText="1"/>
    </xf>
    <xf numFmtId="1" fontId="47" fillId="0" borderId="76" xfId="0" applyNumberFormat="1" applyFont="1" applyFill="1" applyBorder="1" applyAlignment="1">
      <alignment horizontal="center" vertical="center" wrapText="1"/>
    </xf>
    <xf numFmtId="1" fontId="47" fillId="0" borderId="259" xfId="0" applyNumberFormat="1" applyFont="1" applyFill="1" applyBorder="1" applyAlignment="1">
      <alignment horizontal="center" vertical="center" wrapText="1"/>
    </xf>
    <xf numFmtId="1" fontId="47" fillId="0" borderId="258" xfId="0" applyNumberFormat="1" applyFont="1" applyFill="1" applyBorder="1" applyAlignment="1">
      <alignment horizontal="center" vertical="center" wrapText="1"/>
    </xf>
    <xf numFmtId="1" fontId="47" fillId="0" borderId="260" xfId="0" applyNumberFormat="1" applyFont="1" applyFill="1" applyBorder="1" applyAlignment="1">
      <alignment horizontal="center" vertical="center" wrapText="1"/>
    </xf>
    <xf numFmtId="1" fontId="47" fillId="0" borderId="261" xfId="0" applyNumberFormat="1" applyFont="1" applyFill="1" applyBorder="1" applyAlignment="1">
      <alignment horizontal="center" vertical="center" wrapText="1"/>
    </xf>
    <xf numFmtId="164" fontId="81" fillId="0" borderId="40" xfId="1" applyNumberFormat="1" applyFont="1" applyFill="1" applyBorder="1" applyAlignment="1" applyProtection="1">
      <alignment horizontal="right" vertical="center"/>
    </xf>
    <xf numFmtId="164" fontId="4" fillId="0" borderId="38" xfId="1" applyNumberFormat="1" applyFont="1" applyFill="1" applyBorder="1" applyAlignment="1" applyProtection="1">
      <alignment horizontal="right" vertical="center"/>
    </xf>
    <xf numFmtId="164" fontId="81" fillId="0" borderId="46" xfId="1" applyNumberFormat="1" applyFont="1" applyFill="1" applyBorder="1" applyAlignment="1" applyProtection="1">
      <alignment horizontal="right" vertical="center"/>
    </xf>
    <xf numFmtId="164" fontId="4" fillId="0" borderId="29" xfId="1" applyNumberFormat="1" applyFont="1" applyFill="1" applyBorder="1" applyAlignment="1" applyProtection="1">
      <alignment horizontal="right" vertical="center"/>
    </xf>
    <xf numFmtId="164" fontId="4" fillId="0" borderId="46" xfId="1" applyNumberFormat="1" applyFont="1" applyFill="1" applyBorder="1" applyAlignment="1" applyProtection="1">
      <alignment horizontal="right" vertical="center"/>
    </xf>
    <xf numFmtId="177" fontId="7" fillId="8" borderId="46" xfId="0" applyNumberFormat="1" applyFont="1" applyFill="1" applyBorder="1" applyAlignment="1" applyProtection="1">
      <alignment horizontal="right" vertical="center"/>
      <protection locked="0"/>
    </xf>
    <xf numFmtId="177" fontId="7" fillId="8" borderId="32" xfId="0" applyNumberFormat="1" applyFont="1" applyFill="1" applyBorder="1" applyAlignment="1" applyProtection="1">
      <alignment horizontal="right" vertical="center"/>
      <protection locked="0"/>
    </xf>
    <xf numFmtId="177" fontId="7" fillId="8" borderId="213" xfId="0" applyNumberFormat="1" applyFont="1" applyFill="1" applyBorder="1" applyAlignment="1" applyProtection="1">
      <alignment horizontal="right" vertical="center"/>
      <protection locked="0"/>
    </xf>
    <xf numFmtId="1" fontId="47" fillId="0" borderId="266" xfId="0" applyNumberFormat="1" applyFont="1" applyFill="1" applyBorder="1" applyAlignment="1">
      <alignment horizontal="center" vertical="center" wrapText="1"/>
    </xf>
    <xf numFmtId="164" fontId="81" fillId="0" borderId="253" xfId="1" applyNumberFormat="1" applyFont="1" applyFill="1" applyBorder="1" applyAlignment="1" applyProtection="1">
      <alignment horizontal="right" vertical="center"/>
    </xf>
    <xf numFmtId="164" fontId="4" fillId="0" borderId="253" xfId="1" applyNumberFormat="1" applyFont="1" applyFill="1" applyBorder="1" applyAlignment="1" applyProtection="1">
      <alignment horizontal="right" vertical="center"/>
    </xf>
    <xf numFmtId="164" fontId="4" fillId="0" borderId="94" xfId="1" applyNumberFormat="1" applyFont="1" applyFill="1" applyBorder="1" applyAlignment="1" applyProtection="1">
      <alignment horizontal="right" vertical="center"/>
    </xf>
    <xf numFmtId="190" fontId="4" fillId="0" borderId="248" xfId="1" applyNumberFormat="1" applyFont="1" applyFill="1" applyBorder="1" applyAlignment="1" applyProtection="1">
      <alignment vertical="center"/>
    </xf>
    <xf numFmtId="190" fontId="4" fillId="0" borderId="247" xfId="1" applyNumberFormat="1" applyFont="1" applyFill="1" applyBorder="1" applyAlignment="1" applyProtection="1">
      <alignment vertical="center"/>
    </xf>
    <xf numFmtId="190" fontId="4" fillId="0" borderId="32" xfId="1" applyNumberFormat="1" applyFont="1" applyFill="1" applyBorder="1" applyAlignment="1" applyProtection="1">
      <alignment vertical="center"/>
    </xf>
    <xf numFmtId="190" fontId="5" fillId="0" borderId="213" xfId="1" applyNumberFormat="1" applyFont="1" applyFill="1" applyBorder="1" applyAlignment="1" applyProtection="1">
      <alignment vertical="center"/>
    </xf>
    <xf numFmtId="190" fontId="5" fillId="0" borderId="44" xfId="1" applyNumberFormat="1" applyFont="1" applyFill="1" applyBorder="1" applyAlignment="1" applyProtection="1">
      <alignment vertical="center"/>
    </xf>
    <xf numFmtId="190" fontId="5" fillId="0" borderId="43" xfId="1" applyNumberFormat="1" applyFont="1" applyFill="1" applyBorder="1" applyAlignment="1" applyProtection="1">
      <alignment vertical="center"/>
    </xf>
    <xf numFmtId="190" fontId="4" fillId="0" borderId="43" xfId="1" applyNumberFormat="1" applyFont="1" applyFill="1" applyBorder="1" applyAlignment="1" applyProtection="1">
      <alignment vertical="center"/>
    </xf>
    <xf numFmtId="164" fontId="4" fillId="8" borderId="29" xfId="1" applyNumberFormat="1" applyFont="1" applyFill="1" applyBorder="1" applyAlignment="1" applyProtection="1">
      <alignment vertical="center"/>
      <protection locked="0"/>
    </xf>
    <xf numFmtId="164" fontId="4" fillId="8" borderId="46" xfId="1" applyNumberFormat="1" applyFont="1" applyFill="1" applyBorder="1" applyAlignment="1" applyProtection="1">
      <alignment vertical="center"/>
      <protection locked="0"/>
    </xf>
    <xf numFmtId="164" fontId="4" fillId="0" borderId="46" xfId="1" applyNumberFormat="1" applyFont="1" applyFill="1" applyBorder="1" applyAlignment="1" applyProtection="1">
      <alignment vertical="center"/>
    </xf>
    <xf numFmtId="164" fontId="4" fillId="8" borderId="253" xfId="1" applyNumberFormat="1" applyFont="1" applyFill="1" applyBorder="1" applyAlignment="1" applyProtection="1">
      <alignment vertical="center"/>
      <protection locked="0"/>
    </xf>
    <xf numFmtId="0" fontId="73" fillId="0" borderId="23" xfId="0" applyFont="1" applyFill="1" applyBorder="1" applyAlignment="1">
      <alignment horizontal="right" vertical="center"/>
    </xf>
    <xf numFmtId="0" fontId="72" fillId="0" borderId="30" xfId="0" applyFont="1" applyFill="1" applyBorder="1" applyAlignment="1">
      <alignment vertical="center"/>
    </xf>
    <xf numFmtId="0" fontId="72" fillId="0" borderId="21" xfId="0" applyFont="1" applyFill="1" applyBorder="1" applyAlignment="1">
      <alignment vertical="center"/>
    </xf>
    <xf numFmtId="0" fontId="73" fillId="0" borderId="22" xfId="0" applyFont="1" applyFill="1" applyBorder="1" applyAlignment="1">
      <alignment horizontal="left" vertical="center"/>
    </xf>
    <xf numFmtId="0" fontId="7" fillId="0" borderId="35" xfId="0" applyFont="1" applyFill="1" applyBorder="1" applyAlignment="1">
      <alignment horizontal="left" vertical="center"/>
    </xf>
    <xf numFmtId="3" fontId="7" fillId="0" borderId="41" xfId="1" applyNumberFormat="1" applyFont="1" applyFill="1" applyBorder="1" applyAlignment="1" applyProtection="1">
      <alignment vertical="center"/>
    </xf>
    <xf numFmtId="3" fontId="7" fillId="0" borderId="42" xfId="1" applyNumberFormat="1" applyFont="1" applyFill="1" applyBorder="1" applyAlignment="1" applyProtection="1">
      <alignment vertical="center"/>
    </xf>
    <xf numFmtId="3" fontId="7" fillId="0" borderId="94" xfId="1" applyNumberFormat="1" applyFont="1" applyFill="1" applyBorder="1" applyAlignment="1" applyProtection="1">
      <alignment vertical="center"/>
    </xf>
    <xf numFmtId="3" fontId="7" fillId="8" borderId="212" xfId="1" applyNumberFormat="1" applyFont="1" applyFill="1" applyBorder="1" applyAlignment="1" applyProtection="1">
      <alignment vertical="center"/>
    </xf>
    <xf numFmtId="3" fontId="7" fillId="8" borderId="34" xfId="1" applyNumberFormat="1" applyFont="1" applyFill="1" applyBorder="1" applyAlignment="1" applyProtection="1">
      <alignment vertical="center"/>
    </xf>
    <xf numFmtId="3" fontId="7" fillId="8" borderId="46" xfId="1" applyNumberFormat="1" applyFont="1" applyFill="1" applyBorder="1" applyAlignment="1" applyProtection="1">
      <alignment vertical="center"/>
    </xf>
    <xf numFmtId="3" fontId="7" fillId="8" borderId="253" xfId="1" applyNumberFormat="1" applyFont="1" applyFill="1" applyBorder="1" applyAlignment="1" applyProtection="1">
      <alignment vertical="center"/>
    </xf>
    <xf numFmtId="3" fontId="5" fillId="0" borderId="25" xfId="1" applyNumberFormat="1" applyFont="1" applyFill="1" applyBorder="1" applyAlignment="1" applyProtection="1">
      <alignment vertical="center"/>
    </xf>
    <xf numFmtId="3" fontId="5" fillId="0" borderId="31" xfId="1" applyNumberFormat="1" applyFont="1" applyFill="1" applyBorder="1" applyAlignment="1" applyProtection="1">
      <alignment vertical="center"/>
    </xf>
    <xf numFmtId="3" fontId="5" fillId="0" borderId="217" xfId="1" applyNumberFormat="1" applyFont="1" applyFill="1" applyBorder="1" applyAlignment="1" applyProtection="1">
      <alignment vertical="center"/>
    </xf>
    <xf numFmtId="0" fontId="17" fillId="0" borderId="25" xfId="0" applyFont="1" applyFill="1" applyBorder="1" applyAlignment="1" applyProtection="1">
      <alignment horizontal="center" vertical="center"/>
    </xf>
    <xf numFmtId="1" fontId="72" fillId="0" borderId="257" xfId="0" applyNumberFormat="1" applyFont="1" applyFill="1" applyBorder="1" applyAlignment="1">
      <alignment vertical="center"/>
    </xf>
    <xf numFmtId="1" fontId="72" fillId="0" borderId="236" xfId="0" applyNumberFormat="1" applyFont="1" applyFill="1" applyBorder="1" applyAlignment="1">
      <alignment vertical="center"/>
    </xf>
    <xf numFmtId="1" fontId="72" fillId="0" borderId="237" xfId="0" applyNumberFormat="1" applyFont="1" applyFill="1" applyBorder="1" applyAlignment="1">
      <alignment vertical="center"/>
    </xf>
    <xf numFmtId="1" fontId="72" fillId="0" borderId="233" xfId="0" applyNumberFormat="1" applyFont="1" applyFill="1" applyBorder="1" applyAlignment="1">
      <alignment vertical="center"/>
    </xf>
    <xf numFmtId="1" fontId="72" fillId="0" borderId="242" xfId="0" applyNumberFormat="1" applyFont="1" applyFill="1" applyBorder="1" applyAlignment="1">
      <alignment vertical="center"/>
    </xf>
    <xf numFmtId="164" fontId="72" fillId="0" borderId="30" xfId="0" applyNumberFormat="1" applyFont="1" applyFill="1" applyBorder="1" applyAlignment="1">
      <alignment vertical="center"/>
    </xf>
    <xf numFmtId="164" fontId="72" fillId="0" borderId="31" xfId="0" applyNumberFormat="1" applyFont="1" applyFill="1" applyBorder="1" applyAlignment="1">
      <alignment vertical="center"/>
    </xf>
    <xf numFmtId="164" fontId="72" fillId="0" borderId="21" xfId="0" applyNumberFormat="1" applyFont="1" applyFill="1" applyBorder="1" applyAlignment="1">
      <alignment vertical="center"/>
    </xf>
    <xf numFmtId="1" fontId="72" fillId="0" borderId="248" xfId="0" applyNumberFormat="1" applyFont="1" applyFill="1" applyBorder="1" applyAlignment="1">
      <alignment vertical="center"/>
    </xf>
    <xf numFmtId="1" fontId="72" fillId="0" borderId="249" xfId="0" applyNumberFormat="1" applyFont="1" applyFill="1" applyBorder="1" applyAlignment="1">
      <alignment vertical="center"/>
    </xf>
    <xf numFmtId="1" fontId="72" fillId="0" borderId="247" xfId="0" applyNumberFormat="1" applyFont="1" applyFill="1" applyBorder="1" applyAlignment="1">
      <alignment vertical="center"/>
    </xf>
    <xf numFmtId="1" fontId="72" fillId="0" borderId="32" xfId="0" applyNumberFormat="1" applyFont="1" applyFill="1" applyBorder="1" applyAlignment="1">
      <alignment vertical="center"/>
    </xf>
    <xf numFmtId="1" fontId="72" fillId="0" borderId="44" xfId="0" applyNumberFormat="1" applyFont="1" applyFill="1" applyBorder="1" applyAlignment="1">
      <alignment vertical="center"/>
    </xf>
    <xf numFmtId="1" fontId="72" fillId="0" borderId="43" xfId="0" applyNumberFormat="1" applyFont="1" applyFill="1" applyBorder="1" applyAlignment="1">
      <alignment vertical="center"/>
    </xf>
    <xf numFmtId="0" fontId="78" fillId="0" borderId="0" xfId="0" applyFont="1" applyFill="1" applyBorder="1" applyAlignment="1">
      <alignment vertical="center"/>
    </xf>
    <xf numFmtId="0" fontId="21" fillId="0" borderId="19" xfId="0" applyFont="1" applyBorder="1" applyAlignment="1">
      <alignment vertical="center"/>
    </xf>
    <xf numFmtId="165" fontId="12" fillId="0" borderId="87" xfId="0" applyNumberFormat="1" applyFont="1" applyFill="1" applyBorder="1" applyAlignment="1">
      <alignment horizontal="center" vertical="center"/>
    </xf>
    <xf numFmtId="3" fontId="12" fillId="0" borderId="87" xfId="0" applyNumberFormat="1" applyFont="1" applyFill="1" applyBorder="1" applyAlignment="1">
      <alignment horizontal="center" vertical="center"/>
    </xf>
    <xf numFmtId="0" fontId="5" fillId="0" borderId="271" xfId="0" applyFont="1" applyFill="1" applyBorder="1" applyAlignment="1">
      <alignment horizontal="center" vertical="center"/>
    </xf>
    <xf numFmtId="0" fontId="5" fillId="0" borderId="223" xfId="0" applyFont="1" applyFill="1" applyBorder="1" applyAlignment="1">
      <alignment horizontal="center" vertical="center"/>
    </xf>
    <xf numFmtId="1" fontId="5" fillId="0" borderId="223" xfId="0" applyNumberFormat="1" applyFont="1" applyFill="1" applyBorder="1" applyAlignment="1">
      <alignment horizontal="center" vertical="center"/>
    </xf>
    <xf numFmtId="0" fontId="12" fillId="0" borderId="272" xfId="0" applyNumberFormat="1" applyFont="1" applyBorder="1" applyAlignment="1">
      <alignment horizontal="center" vertical="center"/>
    </xf>
    <xf numFmtId="0" fontId="12" fillId="0" borderId="274" xfId="0" applyNumberFormat="1" applyFont="1" applyBorder="1" applyAlignment="1">
      <alignment horizontal="center" vertical="center"/>
    </xf>
    <xf numFmtId="0" fontId="12" fillId="0" borderId="74" xfId="0" applyNumberFormat="1" applyFont="1" applyBorder="1" applyAlignment="1">
      <alignment horizontal="center" vertical="center"/>
    </xf>
    <xf numFmtId="0" fontId="12" fillId="0" borderId="47" xfId="0" applyFont="1" applyBorder="1" applyAlignment="1">
      <alignment vertical="center"/>
    </xf>
    <xf numFmtId="0" fontId="12" fillId="9" borderId="275" xfId="0" applyNumberFormat="1" applyFont="1" applyFill="1" applyBorder="1" applyAlignment="1">
      <alignment horizontal="center" vertical="center"/>
    </xf>
    <xf numFmtId="0" fontId="12" fillId="0" borderId="102" xfId="0" applyNumberFormat="1" applyFont="1" applyBorder="1" applyAlignment="1">
      <alignment horizontal="center" vertical="center"/>
    </xf>
    <xf numFmtId="0" fontId="12" fillId="0" borderId="276" xfId="0" applyNumberFormat="1" applyFont="1" applyBorder="1" applyAlignment="1">
      <alignment horizontal="center" vertical="center"/>
    </xf>
    <xf numFmtId="0" fontId="12" fillId="0" borderId="31" xfId="0" applyNumberFormat="1" applyFont="1" applyBorder="1" applyAlignment="1">
      <alignment horizontal="center" vertical="center"/>
    </xf>
    <xf numFmtId="0" fontId="12" fillId="0" borderId="21" xfId="0" applyNumberFormat="1" applyFont="1" applyBorder="1" applyAlignment="1">
      <alignment horizontal="center" vertical="center"/>
    </xf>
    <xf numFmtId="0" fontId="12" fillId="0" borderId="23" xfId="0" applyFont="1" applyBorder="1" applyAlignment="1">
      <alignment vertical="center"/>
    </xf>
    <xf numFmtId="0" fontId="12" fillId="0" borderId="275" xfId="0" applyNumberFormat="1" applyFont="1" applyBorder="1" applyAlignment="1">
      <alignment horizontal="center" vertical="center"/>
    </xf>
    <xf numFmtId="0" fontId="12" fillId="0" borderId="87" xfId="0" applyNumberFormat="1" applyFont="1" applyBorder="1" applyAlignment="1">
      <alignment horizontal="center" vertical="center"/>
    </xf>
    <xf numFmtId="3" fontId="0" fillId="0" borderId="24" xfId="0" applyNumberFormat="1" applyFill="1" applyBorder="1" applyAlignment="1">
      <alignment vertical="center"/>
    </xf>
    <xf numFmtId="3" fontId="0" fillId="0" borderId="22" xfId="0" applyNumberFormat="1" applyFill="1" applyBorder="1" applyAlignment="1">
      <alignment vertical="center"/>
    </xf>
    <xf numFmtId="0" fontId="6" fillId="0" borderId="22" xfId="0" applyFont="1" applyFill="1" applyBorder="1" applyAlignment="1">
      <alignment horizontal="center" vertical="center"/>
    </xf>
    <xf numFmtId="1" fontId="6" fillId="0" borderId="22" xfId="0" applyNumberFormat="1" applyFont="1" applyFill="1" applyBorder="1" applyAlignment="1">
      <alignment horizontal="center" vertical="center"/>
    </xf>
    <xf numFmtId="3" fontId="0" fillId="0" borderId="278" xfId="0" applyNumberFormat="1" applyBorder="1" applyAlignment="1">
      <alignment vertical="center"/>
    </xf>
    <xf numFmtId="3" fontId="0" fillId="0" borderId="278" xfId="0" applyNumberFormat="1" applyFill="1" applyBorder="1" applyAlignment="1">
      <alignment vertical="center"/>
    </xf>
    <xf numFmtId="166" fontId="0" fillId="0" borderId="0" xfId="0" applyNumberFormat="1" applyFill="1" applyBorder="1" applyAlignment="1">
      <alignment horizontal="center" vertical="center"/>
    </xf>
    <xf numFmtId="167" fontId="0" fillId="0" borderId="0" xfId="0" applyNumberFormat="1" applyFill="1" applyBorder="1" applyAlignment="1">
      <alignment horizontal="center" vertical="center"/>
    </xf>
    <xf numFmtId="3" fontId="0" fillId="0" borderId="0" xfId="0" applyNumberFormat="1" applyFill="1" applyBorder="1" applyAlignment="1">
      <alignment vertical="center"/>
    </xf>
    <xf numFmtId="166" fontId="0" fillId="0" borderId="278" xfId="0" applyNumberFormat="1" applyFill="1" applyBorder="1" applyAlignment="1">
      <alignment horizontal="center" vertical="center"/>
    </xf>
    <xf numFmtId="167" fontId="0" fillId="0" borderId="22" xfId="0" applyNumberFormat="1" applyFill="1" applyBorder="1" applyAlignment="1">
      <alignment horizontal="center" vertical="center"/>
    </xf>
    <xf numFmtId="0" fontId="4" fillId="0" borderId="128" xfId="0" applyFont="1" applyBorder="1" applyAlignment="1">
      <alignment vertical="center"/>
    </xf>
    <xf numFmtId="0" fontId="87" fillId="0" borderId="0" xfId="0" applyFont="1" applyAlignment="1">
      <alignment vertical="center"/>
    </xf>
    <xf numFmtId="183" fontId="47" fillId="0" borderId="87" xfId="0" applyNumberFormat="1" applyFont="1" applyFill="1" applyBorder="1" applyAlignment="1">
      <alignment horizontal="center" vertical="center"/>
    </xf>
    <xf numFmtId="0" fontId="5" fillId="0" borderId="0" xfId="0" applyNumberFormat="1" applyFont="1" applyBorder="1" applyAlignment="1">
      <alignment vertical="center" wrapText="1"/>
    </xf>
    <xf numFmtId="0" fontId="4" fillId="0" borderId="0" xfId="0" applyFont="1" applyBorder="1" applyAlignment="1">
      <alignment vertical="center" wrapText="1"/>
    </xf>
    <xf numFmtId="0" fontId="11" fillId="0" borderId="205" xfId="0" applyFont="1" applyFill="1" applyBorder="1" applyAlignment="1">
      <alignment horizontal="center" vertical="center"/>
    </xf>
    <xf numFmtId="0" fontId="12" fillId="4" borderId="280" xfId="0" applyFont="1" applyFill="1" applyBorder="1" applyAlignment="1">
      <alignment horizontal="center" vertical="center" wrapText="1"/>
    </xf>
    <xf numFmtId="0" fontId="12" fillId="4" borderId="279" xfId="0" applyFont="1" applyFill="1" applyBorder="1" applyAlignment="1">
      <alignment horizontal="center" vertical="center" wrapText="1"/>
    </xf>
    <xf numFmtId="0" fontId="12" fillId="4" borderId="234" xfId="0" applyFont="1" applyFill="1" applyBorder="1" applyAlignment="1">
      <alignment horizontal="center" vertical="center" wrapText="1"/>
    </xf>
    <xf numFmtId="165" fontId="12" fillId="4" borderId="230" xfId="0" applyNumberFormat="1" applyFont="1" applyFill="1" applyBorder="1" applyAlignment="1">
      <alignment horizontal="center" vertical="center" wrapText="1"/>
    </xf>
    <xf numFmtId="165" fontId="12" fillId="0" borderId="79" xfId="0" applyNumberFormat="1" applyFont="1" applyFill="1" applyBorder="1" applyAlignment="1">
      <alignment horizontal="center" vertical="center" wrapText="1"/>
    </xf>
    <xf numFmtId="165" fontId="12" fillId="4" borderId="283" xfId="0" applyNumberFormat="1" applyFont="1" applyFill="1" applyBorder="1" applyAlignment="1">
      <alignment horizontal="center" vertical="center" wrapText="1"/>
    </xf>
    <xf numFmtId="0" fontId="7" fillId="0" borderId="22" xfId="0" applyFont="1" applyBorder="1" applyAlignment="1">
      <alignment vertical="center" wrapText="1"/>
    </xf>
    <xf numFmtId="165" fontId="12" fillId="4" borderId="279" xfId="0" applyNumberFormat="1" applyFont="1" applyFill="1" applyBorder="1" applyAlignment="1">
      <alignment horizontal="center" vertical="center" wrapText="1"/>
    </xf>
    <xf numFmtId="0" fontId="12" fillId="0" borderId="40" xfId="0" applyFont="1" applyBorder="1" applyAlignment="1">
      <alignment vertical="center" wrapText="1"/>
    </xf>
    <xf numFmtId="0" fontId="14" fillId="0" borderId="40" xfId="0" applyFont="1" applyBorder="1" applyAlignment="1">
      <alignment vertical="center" wrapText="1"/>
    </xf>
    <xf numFmtId="9" fontId="12" fillId="0" borderId="25" xfId="2" applyFont="1" applyBorder="1" applyAlignment="1">
      <alignment horizontal="center" vertical="center" wrapText="1"/>
    </xf>
    <xf numFmtId="9" fontId="12" fillId="0" borderId="31" xfId="2" applyFont="1" applyBorder="1" applyAlignment="1">
      <alignment horizontal="center" vertical="center" wrapText="1"/>
    </xf>
    <xf numFmtId="9" fontId="7" fillId="0" borderId="21" xfId="2" applyFont="1" applyFill="1" applyBorder="1" applyAlignment="1">
      <alignment horizontal="center" vertical="center" wrapText="1"/>
    </xf>
    <xf numFmtId="9" fontId="7" fillId="0" borderId="31" xfId="2" applyFont="1" applyBorder="1" applyAlignment="1">
      <alignment horizontal="center" vertical="center" wrapText="1"/>
    </xf>
    <xf numFmtId="9" fontId="7" fillId="0" borderId="31" xfId="2" applyFont="1" applyFill="1" applyBorder="1" applyAlignment="1">
      <alignment horizontal="center" vertical="center" wrapText="1"/>
    </xf>
    <xf numFmtId="9" fontId="7" fillId="0" borderId="21" xfId="2" applyFont="1" applyBorder="1" applyAlignment="1">
      <alignment horizontal="center" vertical="center" wrapText="1"/>
    </xf>
    <xf numFmtId="9" fontId="7" fillId="0" borderId="25" xfId="0" applyNumberFormat="1" applyFont="1" applyBorder="1" applyAlignment="1">
      <alignment horizontal="center" vertical="center" wrapText="1"/>
    </xf>
    <xf numFmtId="9" fontId="7" fillId="0" borderId="31"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0" fontId="4" fillId="0" borderId="0" xfId="0" applyFont="1" applyAlignment="1">
      <alignment horizontal="right" vertical="center"/>
    </xf>
    <xf numFmtId="0" fontId="73" fillId="0" borderId="0" xfId="0" applyFont="1" applyAlignment="1">
      <alignment vertical="center"/>
    </xf>
    <xf numFmtId="0" fontId="17" fillId="0" borderId="106" xfId="0" applyFont="1" applyBorder="1" applyAlignment="1">
      <alignment vertical="center"/>
    </xf>
    <xf numFmtId="183" fontId="47" fillId="0" borderId="273" xfId="0" applyNumberFormat="1" applyFont="1" applyFill="1" applyBorder="1" applyAlignment="1">
      <alignment horizontal="center" vertical="center"/>
    </xf>
    <xf numFmtId="183" fontId="47" fillId="0" borderId="31" xfId="0" applyNumberFormat="1" applyFont="1" applyFill="1" applyBorder="1" applyAlignment="1">
      <alignment horizontal="center" vertical="center"/>
    </xf>
    <xf numFmtId="0" fontId="89"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92" fillId="0" borderId="0" xfId="0" applyFont="1" applyAlignment="1">
      <alignment vertical="center"/>
    </xf>
    <xf numFmtId="0" fontId="92" fillId="0" borderId="90" xfId="0" applyFont="1" applyBorder="1" applyAlignment="1">
      <alignment vertical="center"/>
    </xf>
    <xf numFmtId="0" fontId="0" fillId="0" borderId="0" xfId="0" applyAlignment="1">
      <alignment vertical="center"/>
    </xf>
    <xf numFmtId="0" fontId="15" fillId="2" borderId="216" xfId="0" applyFont="1" applyFill="1" applyBorder="1" applyAlignment="1">
      <alignment horizontal="center" vertical="center"/>
    </xf>
    <xf numFmtId="0" fontId="15" fillId="2" borderId="240" xfId="0" applyFont="1" applyFill="1" applyBorder="1" applyAlignment="1">
      <alignment horizontal="center" vertical="center"/>
    </xf>
    <xf numFmtId="0" fontId="0" fillId="0" borderId="0" xfId="0" applyAlignment="1">
      <alignment vertical="center"/>
    </xf>
    <xf numFmtId="0" fontId="15" fillId="0" borderId="0" xfId="0" applyFont="1" applyFill="1" applyBorder="1" applyAlignment="1">
      <alignment horizontal="center" vertical="center"/>
    </xf>
    <xf numFmtId="0" fontId="53" fillId="0" borderId="40" xfId="0" applyFont="1" applyBorder="1" applyAlignment="1">
      <alignment vertical="center"/>
    </xf>
    <xf numFmtId="0" fontId="53" fillId="0" borderId="40" xfId="0" applyFont="1" applyFill="1" applyBorder="1" applyAlignment="1">
      <alignment vertical="center" wrapText="1"/>
    </xf>
    <xf numFmtId="0" fontId="7" fillId="0" borderId="78" xfId="0" applyFont="1" applyBorder="1" applyAlignment="1">
      <alignment vertical="center" wrapText="1"/>
    </xf>
    <xf numFmtId="0" fontId="7" fillId="0" borderId="79" xfId="0" applyFont="1" applyBorder="1" applyAlignment="1">
      <alignment vertical="center" wrapText="1"/>
    </xf>
    <xf numFmtId="3" fontId="63" fillId="0" borderId="300" xfId="0" applyNumberFormat="1" applyFont="1" applyFill="1" applyBorder="1" applyAlignment="1">
      <alignment horizontal="center" vertical="center"/>
    </xf>
    <xf numFmtId="3" fontId="63" fillId="0" borderId="46" xfId="0" applyNumberFormat="1" applyFont="1" applyFill="1" applyBorder="1" applyAlignment="1">
      <alignment horizontal="center" vertical="center"/>
    </xf>
    <xf numFmtId="3" fontId="63" fillId="0" borderId="121" xfId="0" applyNumberFormat="1" applyFont="1" applyFill="1" applyBorder="1" applyAlignment="1">
      <alignment horizontal="center" vertical="center"/>
    </xf>
    <xf numFmtId="3" fontId="63" fillId="8" borderId="113" xfId="0" applyNumberFormat="1" applyFont="1" applyFill="1" applyBorder="1" applyAlignment="1">
      <alignment horizontal="center" vertical="center"/>
    </xf>
    <xf numFmtId="3" fontId="63" fillId="8" borderId="143" xfId="0" applyNumberFormat="1" applyFont="1" applyFill="1" applyBorder="1" applyAlignment="1">
      <alignment horizontal="center" vertical="center"/>
    </xf>
    <xf numFmtId="3" fontId="63" fillId="4" borderId="113" xfId="0" applyNumberFormat="1" applyFont="1" applyFill="1" applyBorder="1" applyAlignment="1">
      <alignment horizontal="center" vertical="center"/>
    </xf>
    <xf numFmtId="3" fontId="63" fillId="4" borderId="90" xfId="0" applyNumberFormat="1" applyFont="1" applyFill="1" applyBorder="1" applyAlignment="1">
      <alignment horizontal="center" vertical="center"/>
    </xf>
    <xf numFmtId="3" fontId="7" fillId="0" borderId="300" xfId="0" applyNumberFormat="1" applyFont="1" applyFill="1" applyBorder="1" applyAlignment="1">
      <alignment horizontal="center" vertical="center"/>
    </xf>
    <xf numFmtId="3" fontId="7" fillId="0" borderId="46" xfId="0" applyNumberFormat="1" applyFont="1" applyFill="1" applyBorder="1" applyAlignment="1">
      <alignment horizontal="center" vertical="center"/>
    </xf>
    <xf numFmtId="3" fontId="63" fillId="8" borderId="46" xfId="0" applyNumberFormat="1" applyFont="1" applyFill="1" applyBorder="1" applyAlignment="1">
      <alignment horizontal="center" vertical="center"/>
    </xf>
    <xf numFmtId="3" fontId="63" fillId="8" borderId="300" xfId="0" applyNumberFormat="1" applyFont="1" applyFill="1" applyBorder="1" applyAlignment="1">
      <alignment horizontal="center" vertical="center"/>
    </xf>
    <xf numFmtId="3" fontId="7" fillId="0" borderId="300" xfId="0" applyNumberFormat="1" applyFont="1" applyBorder="1" applyAlignment="1">
      <alignment horizontal="center" vertical="center"/>
    </xf>
    <xf numFmtId="3" fontId="63" fillId="8" borderId="34" xfId="0" applyNumberFormat="1" applyFont="1" applyFill="1" applyBorder="1" applyAlignment="1">
      <alignment horizontal="center" vertical="center"/>
    </xf>
    <xf numFmtId="3" fontId="7" fillId="0" borderId="34" xfId="0" applyNumberFormat="1" applyFont="1" applyBorder="1" applyAlignment="1">
      <alignment horizontal="center" vertical="center"/>
    </xf>
    <xf numFmtId="3" fontId="63" fillId="0" borderId="34" xfId="0" applyNumberFormat="1" applyFont="1" applyFill="1" applyBorder="1" applyAlignment="1">
      <alignment horizontal="center" vertical="center"/>
    </xf>
    <xf numFmtId="3" fontId="63" fillId="8" borderId="40" xfId="0" applyNumberFormat="1" applyFont="1" applyFill="1" applyBorder="1" applyAlignment="1">
      <alignment horizontal="center" vertical="center"/>
    </xf>
    <xf numFmtId="3" fontId="7" fillId="0" borderId="34" xfId="0" applyNumberFormat="1" applyFont="1" applyFill="1" applyBorder="1" applyAlignment="1">
      <alignment horizontal="center" vertical="center"/>
    </xf>
    <xf numFmtId="3" fontId="7" fillId="0" borderId="46" xfId="0" applyNumberFormat="1" applyFont="1" applyBorder="1" applyAlignment="1">
      <alignment horizontal="center" vertical="center"/>
    </xf>
    <xf numFmtId="3" fontId="63" fillId="4" borderId="46" xfId="0" applyNumberFormat="1" applyFont="1" applyFill="1" applyBorder="1" applyAlignment="1">
      <alignment horizontal="center" vertical="center"/>
    </xf>
    <xf numFmtId="3" fontId="63" fillId="4" borderId="300" xfId="0" applyNumberFormat="1" applyFont="1" applyFill="1" applyBorder="1" applyAlignment="1">
      <alignment horizontal="center" vertical="center"/>
    </xf>
    <xf numFmtId="3" fontId="7" fillId="0" borderId="143" xfId="0" applyNumberFormat="1" applyFont="1" applyBorder="1" applyAlignment="1">
      <alignment horizontal="center" vertical="center"/>
    </xf>
    <xf numFmtId="3" fontId="7" fillId="0" borderId="40" xfId="0" applyNumberFormat="1" applyFont="1" applyFill="1" applyBorder="1" applyAlignment="1">
      <alignment horizontal="center" vertical="center"/>
    </xf>
    <xf numFmtId="3" fontId="63" fillId="0" borderId="40" xfId="0" applyNumberFormat="1" applyFont="1" applyFill="1" applyBorder="1" applyAlignment="1">
      <alignment horizontal="center" vertical="center"/>
    </xf>
    <xf numFmtId="0" fontId="7" fillId="8" borderId="110" xfId="0" applyFont="1" applyFill="1" applyBorder="1" applyAlignment="1">
      <alignment vertical="center"/>
    </xf>
    <xf numFmtId="0" fontId="7" fillId="8" borderId="112" xfId="0" applyFont="1" applyFill="1" applyBorder="1" applyAlignment="1">
      <alignment vertical="center"/>
    </xf>
    <xf numFmtId="0" fontId="0" fillId="0" borderId="85" xfId="0" applyBorder="1" applyAlignment="1">
      <alignment vertical="center"/>
    </xf>
    <xf numFmtId="1" fontId="10" fillId="0" borderId="22" xfId="0" applyNumberFormat="1" applyFont="1" applyBorder="1" applyAlignment="1">
      <alignment vertical="center"/>
    </xf>
    <xf numFmtId="1" fontId="0" fillId="0" borderId="22" xfId="0" applyNumberFormat="1" applyBorder="1" applyAlignment="1">
      <alignment vertical="center"/>
    </xf>
    <xf numFmtId="3" fontId="63" fillId="4" borderId="0" xfId="0" applyNumberFormat="1" applyFont="1" applyFill="1" applyBorder="1" applyAlignment="1">
      <alignment horizontal="center" vertical="center"/>
    </xf>
    <xf numFmtId="3" fontId="7" fillId="6" borderId="304" xfId="0" applyNumberFormat="1" applyFont="1" applyFill="1" applyBorder="1" applyAlignment="1">
      <alignment horizontal="center" vertical="center"/>
    </xf>
    <xf numFmtId="3" fontId="7" fillId="6" borderId="305" xfId="0" applyNumberFormat="1" applyFont="1" applyFill="1" applyBorder="1" applyAlignment="1">
      <alignment horizontal="center" vertical="center"/>
    </xf>
    <xf numFmtId="3" fontId="7" fillId="6" borderId="306" xfId="0" applyNumberFormat="1" applyFont="1" applyFill="1" applyBorder="1" applyAlignment="1">
      <alignment horizontal="center" vertical="center"/>
    </xf>
    <xf numFmtId="3" fontId="7" fillId="8" borderId="307" xfId="0" applyNumberFormat="1" applyFont="1" applyFill="1" applyBorder="1" applyAlignment="1">
      <alignment horizontal="center" vertical="center"/>
    </xf>
    <xf numFmtId="3" fontId="7" fillId="0" borderId="307" xfId="0" applyNumberFormat="1" applyFont="1" applyBorder="1" applyAlignment="1">
      <alignment horizontal="center" vertical="center"/>
    </xf>
    <xf numFmtId="3" fontId="7" fillId="8" borderId="46" xfId="0" applyNumberFormat="1" applyFont="1" applyFill="1" applyBorder="1" applyAlignment="1">
      <alignment horizontal="center" vertical="center"/>
    </xf>
    <xf numFmtId="3" fontId="17" fillId="0" borderId="307" xfId="0" applyNumberFormat="1" applyFont="1" applyBorder="1" applyAlignment="1">
      <alignment horizontal="center" vertical="center"/>
    </xf>
    <xf numFmtId="3" fontId="17" fillId="0" borderId="46" xfId="0" applyNumberFormat="1" applyFont="1" applyBorder="1" applyAlignment="1">
      <alignment horizontal="center" vertical="center"/>
    </xf>
    <xf numFmtId="3" fontId="63" fillId="8" borderId="307" xfId="0" applyNumberFormat="1" applyFont="1" applyFill="1" applyBorder="1" applyAlignment="1">
      <alignment horizontal="center" vertical="center"/>
    </xf>
    <xf numFmtId="3" fontId="7" fillId="6" borderId="308" xfId="0" applyNumberFormat="1" applyFont="1" applyFill="1" applyBorder="1" applyAlignment="1">
      <alignment horizontal="center" vertical="center"/>
    </xf>
    <xf numFmtId="3" fontId="7" fillId="6" borderId="309" xfId="0" applyNumberFormat="1" applyFont="1" applyFill="1" applyBorder="1" applyAlignment="1">
      <alignment horizontal="center" vertical="center"/>
    </xf>
    <xf numFmtId="3" fontId="63" fillId="8" borderId="253" xfId="0" applyNumberFormat="1" applyFont="1" applyFill="1" applyBorder="1" applyAlignment="1">
      <alignment horizontal="center" vertical="center"/>
    </xf>
    <xf numFmtId="3" fontId="17" fillId="0" borderId="34" xfId="0" applyNumberFormat="1" applyFont="1" applyBorder="1" applyAlignment="1">
      <alignment horizontal="center" vertical="center"/>
    </xf>
    <xf numFmtId="3" fontId="63" fillId="4" borderId="34" xfId="0" applyNumberFormat="1" applyFont="1" applyFill="1" applyBorder="1" applyAlignment="1">
      <alignment horizontal="center" vertical="center"/>
    </xf>
    <xf numFmtId="3" fontId="63" fillId="0" borderId="307" xfId="0" applyNumberFormat="1" applyFont="1" applyBorder="1" applyAlignment="1">
      <alignment horizontal="center" vertical="center"/>
    </xf>
    <xf numFmtId="3" fontId="63" fillId="0" borderId="116" xfId="0" applyNumberFormat="1" applyFont="1" applyBorder="1" applyAlignment="1">
      <alignment horizontal="center" vertical="center"/>
    </xf>
    <xf numFmtId="3" fontId="63" fillId="0" borderId="46" xfId="0" applyNumberFormat="1" applyFont="1" applyBorder="1" applyAlignment="1">
      <alignment horizontal="center" vertical="center"/>
    </xf>
    <xf numFmtId="3" fontId="63" fillId="0" borderId="90" xfId="0" applyNumberFormat="1" applyFont="1" applyBorder="1" applyAlignment="1">
      <alignment horizontal="center" vertical="center"/>
    </xf>
    <xf numFmtId="3" fontId="63" fillId="0" borderId="113" xfId="0" applyNumberFormat="1" applyFont="1" applyBorder="1" applyAlignment="1">
      <alignment horizontal="center" vertical="center"/>
    </xf>
    <xf numFmtId="0" fontId="17" fillId="0" borderId="0" xfId="0" applyFont="1" applyFill="1" applyBorder="1" applyAlignment="1">
      <alignment horizontal="left" vertical="center"/>
    </xf>
    <xf numFmtId="0" fontId="7" fillId="8" borderId="0" xfId="0" applyFont="1" applyFill="1" applyBorder="1" applyAlignment="1">
      <alignment horizontal="left" vertical="center"/>
    </xf>
    <xf numFmtId="0" fontId="18" fillId="0" borderId="40" xfId="0" applyFont="1" applyBorder="1" applyAlignment="1">
      <alignment vertical="center"/>
    </xf>
    <xf numFmtId="0" fontId="91" fillId="0" borderId="40" xfId="0" applyFont="1" applyBorder="1" applyAlignment="1">
      <alignment vertical="center"/>
    </xf>
    <xf numFmtId="0" fontId="92" fillId="0" borderId="40" xfId="0" applyFont="1" applyBorder="1" applyAlignment="1">
      <alignment vertical="center"/>
    </xf>
    <xf numFmtId="3" fontId="63" fillId="4" borderId="143" xfId="0" applyNumberFormat="1" applyFont="1" applyFill="1" applyBorder="1" applyAlignment="1">
      <alignment horizontal="center" vertical="center"/>
    </xf>
    <xf numFmtId="0" fontId="7" fillId="0" borderId="119" xfId="0" applyFont="1" applyFill="1" applyBorder="1" applyAlignment="1">
      <alignment horizontal="left" vertical="center"/>
    </xf>
    <xf numFmtId="0" fontId="17" fillId="0" borderId="310" xfId="0" applyFont="1" applyFill="1" applyBorder="1" applyAlignment="1">
      <alignment horizontal="left" vertical="center"/>
    </xf>
    <xf numFmtId="0" fontId="42" fillId="0" borderId="40" xfId="0" applyFont="1" applyFill="1" applyBorder="1" applyAlignment="1">
      <alignment vertical="center"/>
    </xf>
    <xf numFmtId="3" fontId="7" fillId="0" borderId="312" xfId="0" applyNumberFormat="1" applyFont="1" applyBorder="1" applyAlignment="1">
      <alignment horizontal="center" vertical="center"/>
    </xf>
    <xf numFmtId="3" fontId="7" fillId="0" borderId="313" xfId="0" applyNumberFormat="1" applyFont="1" applyBorder="1" applyAlignment="1">
      <alignment horizontal="center" vertical="center"/>
    </xf>
    <xf numFmtId="3" fontId="7" fillId="0" borderId="314" xfId="0" applyNumberFormat="1" applyFont="1" applyBorder="1" applyAlignment="1">
      <alignment horizontal="center" vertical="center"/>
    </xf>
    <xf numFmtId="3" fontId="7" fillId="0" borderId="315" xfId="0" applyNumberFormat="1" applyFont="1" applyBorder="1" applyAlignment="1">
      <alignment horizontal="center" vertical="center"/>
    </xf>
    <xf numFmtId="3" fontId="7" fillId="0" borderId="318" xfId="0" applyNumberFormat="1" applyFont="1" applyBorder="1" applyAlignment="1">
      <alignment horizontal="center" vertical="center"/>
    </xf>
    <xf numFmtId="3" fontId="7" fillId="0" borderId="322" xfId="0" applyNumberFormat="1" applyFont="1" applyBorder="1" applyAlignment="1">
      <alignment horizontal="center" vertical="center"/>
    </xf>
    <xf numFmtId="3" fontId="7" fillId="0" borderId="323" xfId="0" applyNumberFormat="1" applyFont="1" applyBorder="1" applyAlignment="1">
      <alignment horizontal="center" vertical="center"/>
    </xf>
    <xf numFmtId="9" fontId="7" fillId="0" borderId="30" xfId="2" applyFont="1" applyFill="1" applyBorder="1" applyAlignment="1">
      <alignment horizontal="center" vertical="center"/>
    </xf>
    <xf numFmtId="1" fontId="17" fillId="0" borderId="276" xfId="0" applyNumberFormat="1" applyFont="1" applyFill="1" applyBorder="1" applyAlignment="1">
      <alignment horizontal="center" vertical="center"/>
    </xf>
    <xf numFmtId="165" fontId="7" fillId="0" borderId="217" xfId="0" applyNumberFormat="1" applyFont="1" applyBorder="1" applyAlignment="1">
      <alignment horizontal="center" vertical="center"/>
    </xf>
    <xf numFmtId="9" fontId="7" fillId="0" borderId="217" xfId="2" applyFont="1" applyBorder="1" applyAlignment="1">
      <alignment horizontal="center" vertical="center"/>
    </xf>
    <xf numFmtId="9" fontId="7" fillId="0" borderId="217" xfId="0" applyNumberFormat="1" applyFont="1" applyBorder="1" applyAlignment="1">
      <alignment horizontal="center" vertical="center"/>
    </xf>
    <xf numFmtId="165" fontId="7" fillId="0" borderId="324" xfId="0" applyNumberFormat="1" applyFont="1" applyBorder="1" applyAlignment="1">
      <alignment horizontal="center" vertical="center" wrapText="1"/>
    </xf>
    <xf numFmtId="3" fontId="7" fillId="0" borderId="134" xfId="2" applyNumberFormat="1" applyFont="1" applyBorder="1" applyAlignment="1">
      <alignment horizontal="center" vertical="center" wrapText="1"/>
    </xf>
    <xf numFmtId="3" fontId="7" fillId="0" borderId="324" xfId="2" applyNumberFormat="1" applyFont="1" applyBorder="1" applyAlignment="1">
      <alignment horizontal="center" vertical="center" wrapText="1"/>
    </xf>
    <xf numFmtId="0" fontId="42" fillId="0" borderId="205" xfId="0" applyFont="1" applyBorder="1" applyAlignment="1">
      <alignment horizontal="center" vertical="center"/>
    </xf>
    <xf numFmtId="0" fontId="95" fillId="0" borderId="0" xfId="0" applyFont="1" applyAlignment="1">
      <alignment vertical="center"/>
    </xf>
    <xf numFmtId="0" fontId="77" fillId="0" borderId="0" xfId="0" applyFont="1" applyFill="1" applyAlignment="1">
      <alignment vertical="center"/>
    </xf>
    <xf numFmtId="0" fontId="95" fillId="5" borderId="0" xfId="0" applyFont="1" applyFill="1" applyAlignment="1">
      <alignment vertical="center"/>
    </xf>
    <xf numFmtId="0" fontId="10" fillId="5" borderId="22" xfId="0" applyFont="1" applyFill="1" applyBorder="1" applyAlignment="1">
      <alignment vertical="center"/>
    </xf>
    <xf numFmtId="1" fontId="10" fillId="5" borderId="22" xfId="0" applyNumberFormat="1" applyFont="1" applyFill="1" applyBorder="1" applyAlignment="1">
      <alignment vertical="center"/>
    </xf>
    <xf numFmtId="0" fontId="0" fillId="5" borderId="84" xfId="0" applyFill="1" applyBorder="1" applyAlignment="1">
      <alignment vertical="center"/>
    </xf>
    <xf numFmtId="3" fontId="0" fillId="5" borderId="22" xfId="0" applyNumberFormat="1" applyFill="1" applyBorder="1" applyAlignment="1">
      <alignment vertical="center"/>
    </xf>
    <xf numFmtId="0" fontId="0" fillId="5" borderId="22" xfId="0" applyFill="1" applyBorder="1" applyAlignment="1">
      <alignment vertical="center"/>
    </xf>
    <xf numFmtId="0" fontId="97" fillId="0" borderId="0" xfId="0" applyFont="1" applyAlignment="1">
      <alignment vertical="center"/>
    </xf>
    <xf numFmtId="0" fontId="17" fillId="0" borderId="331" xfId="0" applyFont="1" applyFill="1" applyBorder="1" applyAlignment="1">
      <alignment horizontal="center" vertical="center"/>
    </xf>
    <xf numFmtId="0" fontId="17" fillId="0" borderId="298" xfId="0" applyFont="1" applyFill="1" applyBorder="1" applyAlignment="1">
      <alignment horizontal="center" vertical="center"/>
    </xf>
    <xf numFmtId="49" fontId="17" fillId="0" borderId="297" xfId="0" applyNumberFormat="1" applyFont="1" applyFill="1" applyBorder="1" applyAlignment="1">
      <alignment horizontal="center" vertical="center"/>
    </xf>
    <xf numFmtId="49" fontId="17" fillId="0" borderId="0" xfId="0" applyNumberFormat="1" applyFont="1" applyFill="1" applyBorder="1" applyAlignment="1">
      <alignment horizontal="center" vertical="center"/>
    </xf>
    <xf numFmtId="0" fontId="17" fillId="0" borderId="332" xfId="0" applyFont="1" applyFill="1" applyBorder="1" applyAlignment="1">
      <alignment horizontal="center" vertical="center"/>
    </xf>
    <xf numFmtId="3" fontId="7" fillId="0" borderId="141" xfId="0" applyNumberFormat="1" applyFont="1" applyBorder="1" applyAlignment="1">
      <alignment horizontal="center" vertical="center"/>
    </xf>
    <xf numFmtId="3" fontId="63" fillId="4" borderId="141" xfId="0" applyNumberFormat="1" applyFont="1" applyFill="1" applyBorder="1" applyAlignment="1">
      <alignment horizontal="center" vertical="center"/>
    </xf>
    <xf numFmtId="3" fontId="7" fillId="0" borderId="253" xfId="0" applyNumberFormat="1" applyFont="1" applyBorder="1" applyAlignment="1">
      <alignment horizontal="center" vertical="center"/>
    </xf>
    <xf numFmtId="3" fontId="7" fillId="0" borderId="253" xfId="0" applyNumberFormat="1" applyFont="1" applyFill="1" applyBorder="1" applyAlignment="1">
      <alignment horizontal="center" vertical="center"/>
    </xf>
    <xf numFmtId="3" fontId="63" fillId="0" borderId="253" xfId="0" applyNumberFormat="1" applyFont="1" applyFill="1" applyBorder="1" applyAlignment="1">
      <alignment horizontal="center" vertical="center"/>
    </xf>
    <xf numFmtId="3" fontId="17" fillId="0" borderId="253" xfId="0" applyNumberFormat="1" applyFont="1" applyBorder="1" applyAlignment="1">
      <alignment horizontal="center" vertical="center"/>
    </xf>
    <xf numFmtId="9" fontId="12" fillId="0" borderId="0" xfId="2" applyFont="1" applyAlignment="1">
      <alignment vertical="center"/>
    </xf>
    <xf numFmtId="0" fontId="69" fillId="0" borderId="0" xfId="0" applyFont="1" applyAlignment="1">
      <alignment vertical="center"/>
    </xf>
    <xf numFmtId="0" fontId="69" fillId="0" borderId="0" xfId="0" applyFont="1" applyAlignment="1">
      <alignment horizontal="center" vertical="center"/>
    </xf>
    <xf numFmtId="0" fontId="38" fillId="0" borderId="43" xfId="0" applyFont="1" applyBorder="1" applyAlignment="1">
      <alignment horizontal="center" vertical="center" wrapText="1"/>
    </xf>
    <xf numFmtId="164" fontId="4" fillId="4" borderId="60" xfId="1" applyNumberFormat="1" applyFont="1" applyFill="1" applyBorder="1" applyAlignment="1" applyProtection="1">
      <alignment horizontal="right" vertical="center"/>
    </xf>
    <xf numFmtId="164" fontId="4" fillId="4" borderId="5" xfId="1" applyNumberFormat="1" applyFont="1" applyFill="1" applyBorder="1" applyAlignment="1" applyProtection="1">
      <alignment horizontal="right" vertical="center"/>
    </xf>
    <xf numFmtId="164" fontId="4" fillId="4" borderId="58" xfId="1" applyNumberFormat="1" applyFont="1" applyFill="1" applyBorder="1" applyAlignment="1" applyProtection="1">
      <alignment horizontal="right" vertical="center"/>
    </xf>
    <xf numFmtId="3" fontId="4" fillId="4" borderId="18" xfId="1" applyNumberFormat="1" applyFont="1" applyFill="1" applyBorder="1" applyAlignment="1" applyProtection="1">
      <alignment horizontal="right" vertical="center"/>
    </xf>
    <xf numFmtId="3" fontId="4" fillId="4" borderId="5" xfId="1" applyNumberFormat="1" applyFont="1" applyFill="1" applyBorder="1" applyAlignment="1" applyProtection="1">
      <alignment horizontal="right" vertical="center"/>
    </xf>
    <xf numFmtId="3" fontId="4" fillId="4" borderId="59" xfId="1" applyNumberFormat="1" applyFont="1" applyFill="1" applyBorder="1" applyAlignment="1" applyProtection="1">
      <alignment horizontal="right" vertical="center"/>
    </xf>
    <xf numFmtId="3" fontId="31" fillId="4" borderId="18" xfId="1" applyNumberFormat="1" applyFont="1" applyFill="1" applyBorder="1" applyAlignment="1" applyProtection="1">
      <alignment horizontal="right" vertical="center"/>
    </xf>
    <xf numFmtId="3" fontId="31" fillId="4" borderId="5" xfId="1" applyNumberFormat="1" applyFont="1" applyFill="1" applyBorder="1" applyAlignment="1" applyProtection="1">
      <alignment horizontal="right" vertical="center"/>
    </xf>
    <xf numFmtId="3" fontId="31" fillId="4" borderId="59" xfId="1" applyNumberFormat="1" applyFont="1" applyFill="1" applyBorder="1" applyAlignment="1" applyProtection="1">
      <alignment horizontal="right" vertical="center"/>
    </xf>
    <xf numFmtId="3" fontId="4" fillId="4" borderId="61" xfId="1" applyNumberFormat="1" applyFont="1" applyFill="1" applyBorder="1" applyAlignment="1" applyProtection="1">
      <alignment horizontal="right" vertical="center"/>
    </xf>
    <xf numFmtId="3" fontId="4" fillId="4" borderId="62" xfId="1" applyNumberFormat="1" applyFont="1" applyFill="1" applyBorder="1" applyAlignment="1" applyProtection="1">
      <alignment horizontal="right" vertical="center"/>
    </xf>
    <xf numFmtId="3" fontId="4" fillId="4" borderId="63" xfId="1" applyNumberFormat="1" applyFont="1" applyFill="1" applyBorder="1" applyAlignment="1" applyProtection="1">
      <alignment horizontal="right" vertical="center"/>
    </xf>
    <xf numFmtId="3" fontId="5" fillId="0" borderId="61" xfId="1" applyNumberFormat="1" applyFont="1" applyFill="1" applyBorder="1" applyAlignment="1" applyProtection="1">
      <alignment horizontal="right" vertical="center"/>
    </xf>
    <xf numFmtId="3" fontId="5" fillId="0" borderId="62" xfId="1" applyNumberFormat="1" applyFont="1" applyFill="1" applyBorder="1" applyAlignment="1" applyProtection="1">
      <alignment horizontal="right" vertical="center"/>
    </xf>
    <xf numFmtId="3" fontId="5" fillId="0" borderId="63" xfId="1" applyNumberFormat="1" applyFont="1" applyFill="1" applyBorder="1" applyAlignment="1" applyProtection="1">
      <alignment horizontal="right" vertical="center"/>
    </xf>
    <xf numFmtId="3" fontId="7" fillId="4" borderId="12" xfId="1" applyNumberFormat="1" applyFont="1" applyFill="1" applyBorder="1" applyAlignment="1" applyProtection="1">
      <alignment horizontal="right" vertical="center"/>
    </xf>
    <xf numFmtId="3" fontId="7" fillId="4" borderId="10" xfId="1" applyNumberFormat="1" applyFont="1" applyFill="1" applyBorder="1" applyAlignment="1" applyProtection="1">
      <alignment horizontal="right" vertical="center"/>
    </xf>
    <xf numFmtId="3" fontId="7" fillId="4" borderId="52" xfId="1" applyNumberFormat="1" applyFont="1" applyFill="1" applyBorder="1" applyAlignment="1" applyProtection="1">
      <alignment horizontal="right" vertical="center"/>
    </xf>
    <xf numFmtId="3" fontId="7" fillId="4" borderId="161" xfId="1" applyNumberFormat="1" applyFont="1" applyFill="1" applyBorder="1" applyAlignment="1" applyProtection="1">
      <alignment horizontal="right" vertical="center"/>
    </xf>
    <xf numFmtId="3" fontId="7" fillId="4" borderId="157" xfId="1" applyNumberFormat="1" applyFont="1" applyFill="1" applyBorder="1" applyAlignment="1" applyProtection="1">
      <alignment horizontal="right" vertical="center"/>
    </xf>
    <xf numFmtId="3" fontId="7" fillId="4" borderId="158" xfId="1" applyNumberFormat="1" applyFont="1" applyFill="1" applyBorder="1" applyAlignment="1" applyProtection="1">
      <alignment horizontal="right" vertical="center"/>
    </xf>
    <xf numFmtId="3" fontId="31" fillId="5" borderId="12" xfId="1" applyNumberFormat="1" applyFont="1" applyFill="1" applyBorder="1" applyAlignment="1" applyProtection="1">
      <alignment horizontal="right" vertical="center"/>
    </xf>
    <xf numFmtId="3" fontId="31" fillId="5" borderId="10" xfId="1" applyNumberFormat="1" applyFont="1" applyFill="1" applyBorder="1" applyAlignment="1" applyProtection="1">
      <alignment horizontal="right" vertical="center"/>
    </xf>
    <xf numFmtId="3" fontId="31" fillId="5" borderId="40" xfId="1" applyNumberFormat="1" applyFont="1" applyFill="1" applyBorder="1" applyAlignment="1" applyProtection="1">
      <alignment horizontal="right" vertical="center"/>
    </xf>
    <xf numFmtId="3" fontId="31" fillId="5" borderId="54" xfId="1" applyNumberFormat="1" applyFont="1" applyFill="1" applyBorder="1" applyAlignment="1" applyProtection="1">
      <alignment horizontal="right" vertical="center"/>
    </xf>
    <xf numFmtId="3" fontId="31" fillId="5" borderId="55" xfId="1" applyNumberFormat="1" applyFont="1" applyFill="1" applyBorder="1" applyAlignment="1" applyProtection="1">
      <alignment horizontal="right" vertical="center"/>
    </xf>
    <xf numFmtId="3" fontId="31" fillId="5" borderId="43" xfId="1" applyNumberFormat="1" applyFont="1" applyFill="1" applyBorder="1" applyAlignment="1" applyProtection="1">
      <alignment horizontal="right" vertical="center"/>
    </xf>
    <xf numFmtId="3" fontId="7" fillId="0" borderId="20" xfId="1" applyNumberFormat="1" applyFont="1" applyFill="1" applyBorder="1" applyAlignment="1" applyProtection="1">
      <alignment horizontal="right" vertical="center"/>
    </xf>
    <xf numFmtId="165" fontId="17" fillId="0" borderId="71" xfId="1" applyNumberFormat="1" applyFont="1" applyFill="1" applyBorder="1" applyAlignment="1" applyProtection="1">
      <alignment horizontal="right" vertical="center"/>
    </xf>
    <xf numFmtId="165" fontId="17" fillId="0" borderId="72" xfId="1" applyNumberFormat="1" applyFont="1" applyFill="1" applyBorder="1" applyAlignment="1" applyProtection="1">
      <alignment horizontal="right" vertical="center"/>
    </xf>
    <xf numFmtId="165" fontId="17" fillId="0" borderId="38" xfId="1" applyNumberFormat="1" applyFont="1" applyFill="1" applyBorder="1" applyAlignment="1" applyProtection="1">
      <alignment horizontal="right" vertical="center"/>
    </xf>
    <xf numFmtId="165" fontId="17" fillId="0" borderId="69" xfId="1" applyNumberFormat="1" applyFont="1" applyFill="1" applyBorder="1" applyAlignment="1" applyProtection="1">
      <alignment horizontal="right" vertical="center"/>
    </xf>
    <xf numFmtId="165" fontId="17" fillId="0" borderId="55" xfId="1" applyNumberFormat="1" applyFont="1" applyFill="1" applyBorder="1" applyAlignment="1" applyProtection="1">
      <alignment horizontal="right" vertical="center"/>
    </xf>
    <xf numFmtId="165" fontId="17" fillId="0" borderId="43" xfId="1" applyNumberFormat="1" applyFont="1" applyFill="1" applyBorder="1" applyAlignment="1" applyProtection="1">
      <alignment horizontal="right" vertical="center"/>
    </xf>
    <xf numFmtId="3" fontId="7" fillId="4" borderId="40" xfId="1" applyNumberFormat="1" applyFont="1" applyFill="1" applyBorder="1" applyAlignment="1" applyProtection="1">
      <alignment horizontal="right" vertical="center"/>
    </xf>
    <xf numFmtId="3" fontId="31" fillId="4" borderId="12" xfId="1" applyNumberFormat="1" applyFont="1" applyFill="1" applyBorder="1" applyAlignment="1" applyProtection="1">
      <alignment horizontal="right" vertical="center"/>
    </xf>
    <xf numFmtId="3" fontId="31" fillId="4" borderId="10" xfId="1" applyNumberFormat="1" applyFont="1" applyFill="1" applyBorder="1" applyAlignment="1" applyProtection="1">
      <alignment horizontal="right" vertical="center"/>
    </xf>
    <xf numFmtId="3" fontId="31" fillId="4" borderId="40" xfId="1" applyNumberFormat="1" applyFont="1" applyFill="1" applyBorder="1" applyAlignment="1" applyProtection="1">
      <alignment horizontal="right" vertical="center"/>
    </xf>
    <xf numFmtId="3" fontId="7" fillId="4" borderId="54" xfId="1" applyNumberFormat="1" applyFont="1" applyFill="1" applyBorder="1" applyAlignment="1" applyProtection="1">
      <alignment horizontal="right" vertical="center"/>
    </xf>
    <xf numFmtId="3" fontId="7" fillId="4" borderId="55" xfId="1" applyNumberFormat="1" applyFont="1" applyFill="1" applyBorder="1" applyAlignment="1" applyProtection="1">
      <alignment horizontal="right" vertical="center"/>
    </xf>
    <xf numFmtId="3" fontId="7" fillId="4" borderId="43" xfId="1" applyNumberFormat="1" applyFont="1" applyFill="1" applyBorder="1" applyAlignment="1" applyProtection="1">
      <alignment horizontal="right" vertical="center"/>
    </xf>
    <xf numFmtId="3" fontId="5" fillId="0" borderId="56" xfId="1" applyNumberFormat="1" applyFont="1" applyFill="1" applyBorder="1" applyAlignment="1" applyProtection="1">
      <alignment horizontal="right" vertical="center"/>
    </xf>
    <xf numFmtId="3" fontId="5" fillId="0" borderId="28" xfId="1" applyNumberFormat="1" applyFont="1" applyFill="1" applyBorder="1" applyAlignment="1" applyProtection="1">
      <alignment horizontal="right" vertical="center"/>
    </xf>
    <xf numFmtId="3" fontId="5" fillId="0" borderId="57" xfId="1" applyNumberFormat="1" applyFont="1" applyFill="1" applyBorder="1" applyAlignment="1" applyProtection="1">
      <alignment horizontal="right" vertical="center"/>
    </xf>
    <xf numFmtId="3" fontId="7" fillId="4" borderId="156" xfId="1" applyNumberFormat="1" applyFont="1" applyFill="1" applyBorder="1" applyAlignment="1" applyProtection="1">
      <alignment horizontal="right" vertical="center"/>
    </xf>
    <xf numFmtId="165" fontId="54" fillId="0" borderId="94" xfId="0" applyNumberFormat="1" applyFont="1" applyFill="1" applyBorder="1" applyAlignment="1">
      <alignment horizontal="center" vertical="center"/>
    </xf>
    <xf numFmtId="0" fontId="14" fillId="0" borderId="40" xfId="0" applyFont="1" applyFill="1" applyBorder="1" applyAlignment="1">
      <alignment horizontal="center" vertical="center"/>
    </xf>
    <xf numFmtId="165" fontId="54" fillId="0" borderId="253" xfId="0" applyNumberFormat="1" applyFont="1" applyFill="1" applyBorder="1" applyAlignment="1">
      <alignment horizontal="center" vertical="center"/>
    </xf>
    <xf numFmtId="0" fontId="2" fillId="0" borderId="40" xfId="0" applyFont="1" applyFill="1" applyBorder="1" applyAlignment="1">
      <alignment horizontal="center" vertical="center"/>
    </xf>
    <xf numFmtId="165" fontId="55" fillId="0" borderId="253" xfId="0" applyNumberFormat="1" applyFont="1" applyFill="1" applyBorder="1" applyAlignment="1">
      <alignment horizontal="center" vertical="center"/>
    </xf>
    <xf numFmtId="0" fontId="25" fillId="0" borderId="40" xfId="0" applyFont="1" applyFill="1" applyBorder="1" applyAlignment="1">
      <alignment horizontal="center" vertical="center"/>
    </xf>
    <xf numFmtId="165" fontId="25" fillId="0" borderId="40" xfId="0" applyNumberFormat="1" applyFont="1" applyFill="1" applyBorder="1" applyAlignment="1">
      <alignment horizontal="center" vertical="center"/>
    </xf>
    <xf numFmtId="165" fontId="54" fillId="0" borderId="290" xfId="0" applyNumberFormat="1" applyFont="1" applyFill="1" applyBorder="1" applyAlignment="1">
      <alignment horizontal="center" vertical="center"/>
    </xf>
    <xf numFmtId="165" fontId="47" fillId="0" borderId="217" xfId="0" applyNumberFormat="1" applyFont="1" applyFill="1" applyBorder="1" applyAlignment="1">
      <alignment horizontal="center" vertical="center"/>
    </xf>
    <xf numFmtId="0" fontId="4" fillId="0" borderId="40" xfId="0" applyFont="1" applyFill="1" applyBorder="1" applyAlignment="1">
      <alignment horizontal="center" vertical="center"/>
    </xf>
    <xf numFmtId="165" fontId="54" fillId="0" borderId="291" xfId="0" applyNumberFormat="1" applyFont="1" applyFill="1" applyBorder="1" applyAlignment="1">
      <alignment horizontal="center" vertical="center"/>
    </xf>
    <xf numFmtId="165" fontId="4" fillId="0" borderId="40" xfId="0" applyNumberFormat="1" applyFont="1" applyFill="1" applyBorder="1" applyAlignment="1">
      <alignment horizontal="center" vertical="center"/>
    </xf>
    <xf numFmtId="165" fontId="23" fillId="0" borderId="40" xfId="0" applyNumberFormat="1" applyFont="1" applyFill="1" applyBorder="1" applyAlignment="1">
      <alignment horizontal="center" vertical="center"/>
    </xf>
    <xf numFmtId="0" fontId="8" fillId="0" borderId="40" xfId="0" applyFont="1" applyFill="1" applyBorder="1" applyAlignment="1">
      <alignment horizontal="center" vertical="center"/>
    </xf>
    <xf numFmtId="0" fontId="23" fillId="0" borderId="40" xfId="0" applyFont="1" applyFill="1" applyBorder="1" applyAlignment="1">
      <alignment horizontal="center" vertical="center"/>
    </xf>
    <xf numFmtId="0" fontId="7" fillId="0" borderId="40" xfId="0" applyFont="1" applyFill="1" applyBorder="1" applyAlignment="1">
      <alignment horizontal="center" vertical="center"/>
    </xf>
    <xf numFmtId="165" fontId="47" fillId="0" borderId="217" xfId="0" applyNumberFormat="1" applyFont="1" applyFill="1" applyBorder="1" applyAlignment="1" applyProtection="1">
      <alignment horizontal="center" vertical="center"/>
    </xf>
    <xf numFmtId="0" fontId="5" fillId="0" borderId="40" xfId="0" applyFont="1" applyFill="1" applyBorder="1" applyAlignment="1">
      <alignment horizontal="center" vertical="center"/>
    </xf>
    <xf numFmtId="165" fontId="54" fillId="0" borderId="94" xfId="1" applyNumberFormat="1" applyFont="1" applyFill="1" applyBorder="1" applyAlignment="1" applyProtection="1">
      <alignment horizontal="center" vertical="center"/>
    </xf>
    <xf numFmtId="165" fontId="54" fillId="0" borderId="253" xfId="1" applyNumberFormat="1" applyFont="1" applyFill="1" applyBorder="1" applyAlignment="1" applyProtection="1">
      <alignment horizontal="center" vertical="center"/>
    </xf>
    <xf numFmtId="165" fontId="54" fillId="0" borderId="291" xfId="1" applyNumberFormat="1" applyFont="1" applyFill="1" applyBorder="1" applyAlignment="1" applyProtection="1">
      <alignment horizontal="center" vertical="center"/>
    </xf>
    <xf numFmtId="0" fontId="21" fillId="0" borderId="40" xfId="0" applyFont="1" applyFill="1" applyBorder="1" applyAlignment="1">
      <alignment horizontal="center" vertical="center"/>
    </xf>
    <xf numFmtId="0" fontId="21" fillId="0" borderId="40" xfId="0" applyFont="1" applyBorder="1" applyAlignment="1">
      <alignment horizontal="center" vertical="center"/>
    </xf>
    <xf numFmtId="165" fontId="55" fillId="0" borderId="253" xfId="0" applyNumberFormat="1" applyFont="1" applyBorder="1" applyAlignment="1">
      <alignment horizontal="center" vertical="center"/>
    </xf>
    <xf numFmtId="165" fontId="55" fillId="0" borderId="290" xfId="0" applyNumberFormat="1" applyFont="1" applyBorder="1" applyAlignment="1">
      <alignment horizontal="center" vertical="center"/>
    </xf>
    <xf numFmtId="3" fontId="56" fillId="8" borderId="46" xfId="0" applyNumberFormat="1" applyFont="1" applyFill="1" applyBorder="1" applyAlignment="1">
      <alignment horizontal="center" vertical="center"/>
    </xf>
    <xf numFmtId="3" fontId="4" fillId="8" borderId="29" xfId="1" applyNumberFormat="1" applyFont="1" applyFill="1" applyBorder="1" applyAlignment="1" applyProtection="1">
      <alignment horizontal="center" vertical="center"/>
    </xf>
    <xf numFmtId="3" fontId="4" fillId="8" borderId="46" xfId="1" applyNumberFormat="1" applyFont="1" applyFill="1" applyBorder="1" applyAlignment="1" applyProtection="1">
      <alignment horizontal="center" vertical="center"/>
    </xf>
    <xf numFmtId="3" fontId="4" fillId="8" borderId="150" xfId="1" applyNumberFormat="1" applyFont="1" applyFill="1" applyBorder="1" applyAlignment="1" applyProtection="1">
      <alignment horizontal="center" vertical="center"/>
    </xf>
    <xf numFmtId="3" fontId="4" fillId="8" borderId="46" xfId="0" applyNumberFormat="1" applyFont="1" applyFill="1" applyBorder="1" applyAlignment="1">
      <alignment horizontal="center" vertical="center"/>
    </xf>
    <xf numFmtId="3" fontId="31" fillId="8" borderId="46" xfId="0" applyNumberFormat="1" applyFont="1" applyFill="1" applyBorder="1" applyAlignment="1">
      <alignment horizontal="center" vertical="center"/>
    </xf>
    <xf numFmtId="3" fontId="4" fillId="8" borderId="32" xfId="0" applyNumberFormat="1" applyFont="1" applyFill="1" applyBorder="1" applyAlignment="1">
      <alignment horizontal="center" vertical="center"/>
    </xf>
    <xf numFmtId="3" fontId="31" fillId="8" borderId="46" xfId="1" applyNumberFormat="1" applyFont="1" applyFill="1" applyBorder="1" applyAlignment="1" applyProtection="1">
      <alignment horizontal="center" vertical="center"/>
    </xf>
    <xf numFmtId="165" fontId="31" fillId="8" borderId="46" xfId="0" applyNumberFormat="1" applyFont="1" applyFill="1" applyBorder="1" applyAlignment="1">
      <alignment horizontal="center" vertical="center"/>
    </xf>
    <xf numFmtId="165" fontId="31" fillId="8" borderId="32" xfId="0" applyNumberFormat="1" applyFont="1" applyFill="1" applyBorder="1" applyAlignment="1">
      <alignment horizontal="center" vertical="center"/>
    </xf>
    <xf numFmtId="3" fontId="98" fillId="0" borderId="90" xfId="0" applyNumberFormat="1" applyFont="1" applyFill="1" applyBorder="1" applyAlignment="1">
      <alignment horizontal="center" vertical="center"/>
    </xf>
    <xf numFmtId="3" fontId="99" fillId="0" borderId="87" xfId="0" applyNumberFormat="1" applyFont="1" applyFill="1" applyBorder="1" applyAlignment="1">
      <alignment horizontal="center" vertical="center"/>
    </xf>
    <xf numFmtId="3" fontId="98" fillId="0" borderId="293" xfId="0" applyNumberFormat="1" applyFont="1" applyFill="1" applyBorder="1" applyAlignment="1">
      <alignment horizontal="center" vertical="center"/>
    </xf>
    <xf numFmtId="3" fontId="99" fillId="0" borderId="87" xfId="0" applyNumberFormat="1" applyFont="1" applyFill="1" applyBorder="1" applyAlignment="1" applyProtection="1">
      <alignment horizontal="center" vertical="center"/>
    </xf>
    <xf numFmtId="3" fontId="98" fillId="0" borderId="90" xfId="1" applyNumberFormat="1" applyFont="1" applyFill="1" applyBorder="1" applyAlignment="1" applyProtection="1">
      <alignment horizontal="center" vertical="center"/>
    </xf>
    <xf numFmtId="3" fontId="98" fillId="0" borderId="293" xfId="1" applyNumberFormat="1" applyFont="1" applyFill="1" applyBorder="1" applyAlignment="1" applyProtection="1">
      <alignment horizontal="center" vertical="center"/>
    </xf>
    <xf numFmtId="3" fontId="99" fillId="0" borderId="294" xfId="0" applyNumberFormat="1" applyFont="1" applyFill="1" applyBorder="1" applyAlignment="1">
      <alignment horizontal="center" vertical="center"/>
    </xf>
    <xf numFmtId="3" fontId="99" fillId="0" borderId="294" xfId="0" applyNumberFormat="1" applyFont="1" applyBorder="1" applyAlignment="1">
      <alignment horizontal="center" vertical="center"/>
    </xf>
    <xf numFmtId="3" fontId="100" fillId="0" borderId="90" xfId="0" applyNumberFormat="1" applyFont="1" applyBorder="1" applyAlignment="1">
      <alignment horizontal="center" vertical="center"/>
    </xf>
    <xf numFmtId="3" fontId="100" fillId="0" borderId="79" xfId="0" applyNumberFormat="1" applyFont="1" applyBorder="1" applyAlignment="1">
      <alignment horizontal="center" vertical="center"/>
    </xf>
    <xf numFmtId="173" fontId="101" fillId="0" borderId="22" xfId="0" applyNumberFormat="1" applyFont="1" applyBorder="1" applyAlignment="1">
      <alignment horizontal="center" vertical="center" wrapText="1"/>
    </xf>
    <xf numFmtId="0" fontId="65" fillId="0" borderId="342" xfId="0" applyFont="1" applyFill="1" applyBorder="1" applyAlignment="1">
      <alignment horizontal="left" vertical="center"/>
    </xf>
    <xf numFmtId="3" fontId="102" fillId="0" borderId="96" xfId="0" applyNumberFormat="1" applyFont="1" applyFill="1" applyBorder="1" applyAlignment="1">
      <alignment horizontal="center" vertical="center"/>
    </xf>
    <xf numFmtId="0" fontId="17" fillId="0" borderId="343" xfId="0" applyFont="1" applyFill="1" applyBorder="1" applyAlignment="1">
      <alignment horizontal="center" vertical="center"/>
    </xf>
    <xf numFmtId="0" fontId="4" fillId="0" borderId="244" xfId="0" applyFont="1" applyBorder="1" applyAlignment="1">
      <alignment horizontal="center" vertical="center" wrapText="1"/>
    </xf>
    <xf numFmtId="0" fontId="4" fillId="0" borderId="243" xfId="0" applyFont="1" applyBorder="1" applyAlignment="1">
      <alignment horizontal="center" vertical="center" wrapText="1"/>
    </xf>
    <xf numFmtId="0" fontId="96" fillId="0" borderId="0" xfId="0" applyFont="1" applyFill="1" applyAlignment="1">
      <alignment vertical="center"/>
    </xf>
    <xf numFmtId="0" fontId="59" fillId="0" borderId="0" xfId="0" applyFont="1" applyFill="1" applyAlignment="1">
      <alignment vertical="center"/>
    </xf>
    <xf numFmtId="0" fontId="20" fillId="8" borderId="46" xfId="0" applyFont="1" applyFill="1" applyBorder="1" applyAlignment="1">
      <alignment vertical="center"/>
    </xf>
    <xf numFmtId="165" fontId="87" fillId="0" borderId="0" xfId="0" applyNumberFormat="1" applyFont="1" applyBorder="1" applyAlignment="1">
      <alignment horizontal="left" vertical="center"/>
    </xf>
    <xf numFmtId="0" fontId="40" fillId="0" borderId="0" xfId="0" applyFont="1" applyAlignment="1">
      <alignment horizontal="center" vertical="center"/>
    </xf>
    <xf numFmtId="3" fontId="7" fillId="0" borderId="115" xfId="0" applyNumberFormat="1" applyFont="1" applyFill="1" applyBorder="1" applyAlignment="1">
      <alignment horizontal="center" vertical="center"/>
    </xf>
    <xf numFmtId="3" fontId="7" fillId="0" borderId="76" xfId="0" applyNumberFormat="1" applyFont="1" applyFill="1" applyBorder="1" applyAlignment="1">
      <alignment horizontal="center" vertical="center"/>
    </xf>
    <xf numFmtId="3" fontId="7" fillId="0" borderId="119" xfId="0" applyNumberFormat="1" applyFont="1" applyFill="1" applyBorder="1" applyAlignment="1">
      <alignment horizontal="center" vertical="center"/>
    </xf>
    <xf numFmtId="3" fontId="7" fillId="0" borderId="140" xfId="0" applyNumberFormat="1" applyFont="1" applyFill="1" applyBorder="1" applyAlignment="1">
      <alignment horizontal="center" vertical="center"/>
    </xf>
    <xf numFmtId="3" fontId="7" fillId="0" borderId="218" xfId="0" applyNumberFormat="1" applyFont="1" applyFill="1" applyBorder="1" applyAlignment="1">
      <alignment horizontal="center" vertical="center"/>
    </xf>
    <xf numFmtId="4" fontId="39" fillId="8" borderId="83" xfId="0" applyNumberFormat="1" applyFont="1" applyFill="1" applyBorder="1" applyAlignment="1">
      <alignment horizontal="center" vertical="center"/>
    </xf>
    <xf numFmtId="165" fontId="17" fillId="11" borderId="319" xfId="0" applyNumberFormat="1" applyFont="1" applyFill="1" applyBorder="1" applyAlignment="1">
      <alignment horizontal="center" vertical="center"/>
    </xf>
    <xf numFmtId="165" fontId="17" fillId="11" borderId="243" xfId="0" applyNumberFormat="1" applyFont="1" applyFill="1" applyBorder="1" applyAlignment="1">
      <alignment horizontal="center" vertical="center"/>
    </xf>
    <xf numFmtId="165" fontId="17" fillId="11" borderId="320" xfId="0" applyNumberFormat="1" applyFont="1" applyFill="1" applyBorder="1" applyAlignment="1">
      <alignment horizontal="center" vertical="center"/>
    </xf>
    <xf numFmtId="165" fontId="16" fillId="12" borderId="302" xfId="0" applyNumberFormat="1" applyFont="1" applyFill="1" applyBorder="1" applyAlignment="1">
      <alignment horizontal="center" vertical="center" wrapText="1"/>
    </xf>
    <xf numFmtId="165" fontId="16" fillId="12" borderId="44" xfId="0" applyNumberFormat="1" applyFont="1" applyFill="1" applyBorder="1" applyAlignment="1">
      <alignment horizontal="center" vertical="center" wrapText="1"/>
    </xf>
    <xf numFmtId="165" fontId="16" fillId="12" borderId="19" xfId="0" applyNumberFormat="1" applyFont="1" applyFill="1" applyBorder="1" applyAlignment="1">
      <alignment horizontal="center" vertical="center" wrapText="1"/>
    </xf>
    <xf numFmtId="165" fontId="102" fillId="0" borderId="153" xfId="0" applyNumberFormat="1" applyFont="1" applyFill="1" applyBorder="1" applyAlignment="1">
      <alignment horizontal="center" vertical="center"/>
    </xf>
    <xf numFmtId="165" fontId="13" fillId="0" borderId="154" xfId="0" applyNumberFormat="1" applyFont="1" applyFill="1" applyBorder="1" applyAlignment="1">
      <alignment horizontal="center" vertical="center"/>
    </xf>
    <xf numFmtId="165" fontId="47" fillId="0" borderId="292" xfId="0" applyNumberFormat="1" applyFont="1" applyFill="1" applyBorder="1" applyAlignment="1">
      <alignment horizontal="center" vertical="center"/>
    </xf>
    <xf numFmtId="165" fontId="102" fillId="0" borderId="153" xfId="0" applyNumberFormat="1" applyFont="1" applyBorder="1" applyAlignment="1">
      <alignment horizontal="center" vertical="center"/>
    </xf>
    <xf numFmtId="165" fontId="13" fillId="0" borderId="154" xfId="0" applyNumberFormat="1" applyFont="1" applyBorder="1" applyAlignment="1">
      <alignment horizontal="center" vertical="center"/>
    </xf>
    <xf numFmtId="165" fontId="47" fillId="0" borderId="292" xfId="0" applyNumberFormat="1" applyFont="1" applyBorder="1" applyAlignment="1">
      <alignment horizontal="center" vertical="center"/>
    </xf>
    <xf numFmtId="172" fontId="7" fillId="0" borderId="122" xfId="2" applyNumberFormat="1" applyFont="1" applyFill="1" applyBorder="1" applyAlignment="1">
      <alignment horizontal="center" vertical="center"/>
    </xf>
    <xf numFmtId="172" fontId="7" fillId="0" borderId="115" xfId="2" applyNumberFormat="1" applyFont="1" applyFill="1" applyBorder="1" applyAlignment="1">
      <alignment horizontal="center" vertical="center"/>
    </xf>
    <xf numFmtId="172" fontId="7" fillId="0" borderId="76" xfId="2" applyNumberFormat="1" applyFont="1" applyFill="1" applyBorder="1" applyAlignment="1">
      <alignment horizontal="center" vertical="center"/>
    </xf>
    <xf numFmtId="172" fontId="7" fillId="0" borderId="95" xfId="2" applyNumberFormat="1" applyFont="1" applyFill="1" applyBorder="1" applyAlignment="1">
      <alignment horizontal="center" vertical="center"/>
    </xf>
    <xf numFmtId="172" fontId="7" fillId="0" borderId="119" xfId="2" applyNumberFormat="1" applyFont="1" applyFill="1" applyBorder="1" applyAlignment="1">
      <alignment horizontal="center" vertical="center"/>
    </xf>
    <xf numFmtId="172" fontId="7" fillId="0" borderId="140" xfId="2" applyNumberFormat="1" applyFont="1" applyFill="1" applyBorder="1" applyAlignment="1">
      <alignment horizontal="center" vertical="center"/>
    </xf>
    <xf numFmtId="172" fontId="7" fillId="0" borderId="218" xfId="2" applyNumberFormat="1" applyFont="1" applyFill="1" applyBorder="1" applyAlignment="1">
      <alignment horizontal="center" vertical="center"/>
    </xf>
    <xf numFmtId="172" fontId="7" fillId="8" borderId="120" xfId="2" applyNumberFormat="1" applyFont="1" applyFill="1" applyBorder="1" applyAlignment="1">
      <alignment horizontal="center" vertical="center"/>
    </xf>
    <xf numFmtId="172" fontId="7" fillId="8" borderId="117" xfId="2" applyNumberFormat="1" applyFont="1" applyFill="1" applyBorder="1" applyAlignment="1">
      <alignment horizontal="center" vertical="center"/>
    </xf>
    <xf numFmtId="172" fontId="7" fillId="8" borderId="79" xfId="2" applyNumberFormat="1" applyFont="1" applyFill="1" applyBorder="1" applyAlignment="1">
      <alignment horizontal="center" vertical="center"/>
    </xf>
    <xf numFmtId="172" fontId="7" fillId="0" borderId="106" xfId="2" applyNumberFormat="1" applyFont="1" applyFill="1" applyBorder="1" applyAlignment="1">
      <alignment horizontal="center" vertical="center"/>
    </xf>
    <xf numFmtId="172" fontId="7" fillId="8" borderId="75" xfId="2" applyNumberFormat="1" applyFont="1" applyFill="1" applyBorder="1" applyAlignment="1">
      <alignment horizontal="center" vertical="center"/>
    </xf>
    <xf numFmtId="172" fontId="7" fillId="8" borderId="142" xfId="2" applyNumberFormat="1" applyFont="1" applyFill="1" applyBorder="1" applyAlignment="1">
      <alignment horizontal="center" vertical="center"/>
    </xf>
    <xf numFmtId="172" fontId="7" fillId="4" borderId="120" xfId="2" applyNumberFormat="1" applyFont="1" applyFill="1" applyBorder="1" applyAlignment="1">
      <alignment horizontal="center" vertical="center"/>
    </xf>
    <xf numFmtId="172" fontId="7" fillId="4" borderId="219" xfId="2" applyNumberFormat="1" applyFont="1" applyFill="1" applyBorder="1" applyAlignment="1">
      <alignment horizontal="center" vertical="center"/>
    </xf>
    <xf numFmtId="172" fontId="7" fillId="4" borderId="117" xfId="2" applyNumberFormat="1" applyFont="1" applyFill="1" applyBorder="1" applyAlignment="1">
      <alignment horizontal="center" vertical="center"/>
    </xf>
    <xf numFmtId="172" fontId="7" fillId="0" borderId="167" xfId="2" applyNumberFormat="1" applyFont="1" applyFill="1" applyBorder="1" applyAlignment="1">
      <alignment horizontal="center" vertical="center"/>
    </xf>
    <xf numFmtId="172" fontId="7" fillId="8" borderId="168" xfId="2" applyNumberFormat="1" applyFont="1" applyFill="1" applyBorder="1" applyAlignment="1">
      <alignment horizontal="center" vertical="center"/>
    </xf>
    <xf numFmtId="172" fontId="7" fillId="8" borderId="106" xfId="2" applyNumberFormat="1" applyFont="1" applyFill="1" applyBorder="1" applyAlignment="1">
      <alignment horizontal="center" vertical="center"/>
    </xf>
    <xf numFmtId="172" fontId="7" fillId="4" borderId="106" xfId="2" applyNumberFormat="1" applyFont="1" applyFill="1" applyBorder="1" applyAlignment="1">
      <alignment horizontal="center" vertical="center"/>
    </xf>
    <xf numFmtId="172" fontId="7" fillId="4" borderId="79" xfId="2" applyNumberFormat="1" applyFont="1" applyFill="1" applyBorder="1" applyAlignment="1">
      <alignment horizontal="center" vertical="center"/>
    </xf>
    <xf numFmtId="0" fontId="38" fillId="0" borderId="120" xfId="0" applyFont="1" applyBorder="1" applyAlignment="1">
      <alignment horizontal="center" vertical="center" wrapText="1"/>
    </xf>
    <xf numFmtId="0" fontId="38" fillId="0" borderId="105" xfId="0" applyFont="1" applyBorder="1" applyAlignment="1">
      <alignment horizontal="center" vertical="center" wrapText="1"/>
    </xf>
    <xf numFmtId="0" fontId="38" fillId="0" borderId="303" xfId="0" applyFont="1" applyBorder="1" applyAlignment="1">
      <alignment horizontal="center" vertical="center" wrapText="1"/>
    </xf>
    <xf numFmtId="0" fontId="38" fillId="0" borderId="280" xfId="0" applyFont="1" applyBorder="1" applyAlignment="1">
      <alignment horizontal="center" vertical="center" wrapText="1"/>
    </xf>
    <xf numFmtId="0" fontId="38" fillId="0" borderId="279" xfId="0" applyFont="1" applyBorder="1" applyAlignment="1">
      <alignment horizontal="center" vertical="center" wrapText="1"/>
    </xf>
    <xf numFmtId="0" fontId="38" fillId="0" borderId="4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0" xfId="0" applyFont="1" applyBorder="1" applyAlignment="1">
      <alignment horizontal="center" vertical="center" wrapText="1"/>
    </xf>
    <xf numFmtId="3" fontId="7" fillId="0" borderId="0" xfId="0" applyNumberFormat="1" applyFont="1" applyAlignment="1">
      <alignment vertical="center"/>
    </xf>
    <xf numFmtId="9" fontId="7" fillId="0" borderId="0" xfId="2" applyFont="1" applyAlignment="1">
      <alignment vertical="center"/>
    </xf>
    <xf numFmtId="3" fontId="87" fillId="0" borderId="0" xfId="0" applyNumberFormat="1" applyFont="1" applyAlignment="1">
      <alignment vertical="center"/>
    </xf>
    <xf numFmtId="165" fontId="7" fillId="6" borderId="133" xfId="0" applyNumberFormat="1" applyFont="1" applyFill="1" applyBorder="1" applyAlignment="1">
      <alignment horizontal="center" vertical="center" wrapText="1"/>
    </xf>
    <xf numFmtId="165" fontId="39" fillId="0" borderId="324" xfId="0" applyNumberFormat="1" applyFont="1" applyBorder="1" applyAlignment="1">
      <alignment horizontal="center" vertical="center" wrapText="1"/>
    </xf>
    <xf numFmtId="165" fontId="39" fillId="0" borderId="345" xfId="0" applyNumberFormat="1" applyFont="1" applyBorder="1" applyAlignment="1">
      <alignment horizontal="center" vertical="center" wrapText="1"/>
    </xf>
    <xf numFmtId="165" fontId="7" fillId="6" borderId="324" xfId="0" applyNumberFormat="1" applyFont="1" applyFill="1" applyBorder="1" applyAlignment="1">
      <alignment horizontal="center" vertical="center" wrapText="1"/>
    </xf>
    <xf numFmtId="0" fontId="4" fillId="0" borderId="129" xfId="0" applyFont="1" applyFill="1" applyBorder="1" applyAlignment="1">
      <alignment vertical="center"/>
    </xf>
    <xf numFmtId="0" fontId="69" fillId="0" borderId="29" xfId="0" applyFont="1" applyFill="1" applyBorder="1" applyAlignment="1" applyProtection="1">
      <alignment horizontal="center" vertical="center" wrapText="1"/>
    </xf>
    <xf numFmtId="0" fontId="49" fillId="5" borderId="346" xfId="0" applyFont="1" applyFill="1" applyBorder="1" applyAlignment="1">
      <alignment horizontal="left" vertical="center" wrapText="1"/>
    </xf>
    <xf numFmtId="0" fontId="12" fillId="0" borderId="16" xfId="0" applyFont="1" applyBorder="1" applyAlignment="1" applyProtection="1">
      <alignment vertical="center"/>
    </xf>
    <xf numFmtId="0" fontId="86" fillId="0" borderId="0" xfId="0" applyFont="1" applyAlignment="1">
      <alignment horizontal="left" vertical="center" wrapText="1"/>
    </xf>
    <xf numFmtId="0" fontId="103" fillId="0" borderId="0" xfId="0" applyFont="1" applyAlignment="1">
      <alignment vertical="center"/>
    </xf>
    <xf numFmtId="0" fontId="39" fillId="0" borderId="265" xfId="0" applyFont="1" applyBorder="1" applyAlignment="1">
      <alignment horizontal="center" vertical="center" wrapText="1"/>
    </xf>
    <xf numFmtId="0" fontId="93" fillId="5" borderId="13" xfId="0" applyFont="1" applyFill="1" applyBorder="1" applyAlignment="1">
      <alignment horizontal="center" vertical="center"/>
    </xf>
    <xf numFmtId="0" fontId="27" fillId="0" borderId="170" xfId="0" applyFont="1" applyBorder="1" applyAlignment="1">
      <alignment horizontal="center" vertical="center"/>
    </xf>
    <xf numFmtId="0" fontId="27" fillId="0" borderId="347" xfId="0" applyFont="1" applyBorder="1" applyAlignment="1">
      <alignment vertical="center"/>
    </xf>
    <xf numFmtId="0" fontId="27" fillId="0" borderId="0" xfId="0" applyFont="1" applyBorder="1" applyAlignment="1">
      <alignment vertical="center"/>
    </xf>
    <xf numFmtId="0" fontId="32" fillId="0" borderId="277" xfId="0" applyFont="1" applyFill="1" applyBorder="1" applyAlignment="1">
      <alignment horizontal="left" vertical="center"/>
    </xf>
    <xf numFmtId="0" fontId="11" fillId="0" borderId="277" xfId="0" applyFont="1" applyFill="1" applyBorder="1" applyAlignment="1">
      <alignment horizontal="center" vertical="center"/>
    </xf>
    <xf numFmtId="0" fontId="21" fillId="0" borderId="277" xfId="0" applyFont="1" applyBorder="1" applyAlignment="1">
      <alignment vertical="center"/>
    </xf>
    <xf numFmtId="0" fontId="51" fillId="0" borderId="19" xfId="0" applyFont="1" applyBorder="1" applyAlignment="1">
      <alignment vertical="center"/>
    </xf>
    <xf numFmtId="3" fontId="51" fillId="0" borderId="19" xfId="0" applyNumberFormat="1" applyFont="1" applyBorder="1" applyAlignment="1">
      <alignment horizontal="center" vertical="center"/>
    </xf>
    <xf numFmtId="0" fontId="52" fillId="0" borderId="19" xfId="0" applyFont="1" applyBorder="1" applyAlignment="1">
      <alignment vertical="center"/>
    </xf>
    <xf numFmtId="0" fontId="17" fillId="0" borderId="83" xfId="0" applyFont="1" applyBorder="1" applyAlignment="1">
      <alignment horizontal="center" vertical="center" wrapText="1"/>
    </xf>
    <xf numFmtId="0" fontId="17" fillId="0" borderId="83" xfId="0" applyFont="1" applyBorder="1" applyAlignment="1">
      <alignment horizontal="center" vertical="center"/>
    </xf>
    <xf numFmtId="3" fontId="7" fillId="1" borderId="122" xfId="0" applyNumberFormat="1" applyFont="1" applyFill="1" applyBorder="1" applyAlignment="1">
      <alignment horizontal="center" vertical="center"/>
    </xf>
    <xf numFmtId="3" fontId="7" fillId="1" borderId="115" xfId="0" applyNumberFormat="1" applyFont="1" applyFill="1" applyBorder="1" applyAlignment="1">
      <alignment horizontal="center" vertical="center"/>
    </xf>
    <xf numFmtId="3" fontId="7" fillId="1" borderId="76" xfId="0" applyNumberFormat="1" applyFont="1" applyFill="1" applyBorder="1" applyAlignment="1">
      <alignment horizontal="center" vertical="center"/>
    </xf>
    <xf numFmtId="3" fontId="104" fillId="14" borderId="95" xfId="0" applyNumberFormat="1" applyFont="1" applyFill="1" applyBorder="1" applyAlignment="1">
      <alignment horizontal="center" vertical="center"/>
    </xf>
    <xf numFmtId="3" fontId="104" fillId="14" borderId="115" xfId="0" applyNumberFormat="1" applyFont="1" applyFill="1" applyBorder="1" applyAlignment="1">
      <alignment horizontal="center" vertical="center"/>
    </xf>
    <xf numFmtId="3" fontId="104" fillId="14" borderId="76" xfId="0" applyNumberFormat="1" applyFont="1" applyFill="1" applyBorder="1" applyAlignment="1">
      <alignment horizontal="center" vertical="center"/>
    </xf>
    <xf numFmtId="3" fontId="104" fillId="14" borderId="106" xfId="0" applyNumberFormat="1" applyFont="1" applyFill="1" applyBorder="1" applyAlignment="1">
      <alignment horizontal="center" vertical="center"/>
    </xf>
    <xf numFmtId="3" fontId="104" fillId="14" borderId="117" xfId="0" applyNumberFormat="1" applyFont="1" applyFill="1" applyBorder="1" applyAlignment="1">
      <alignment horizontal="center" vertical="center"/>
    </xf>
    <xf numFmtId="3" fontId="104" fillId="14" borderId="79" xfId="0" applyNumberFormat="1" applyFont="1" applyFill="1" applyBorder="1" applyAlignment="1">
      <alignment horizontal="center" vertical="center"/>
    </xf>
    <xf numFmtId="3" fontId="63" fillId="14" borderId="113" xfId="0" applyNumberFormat="1" applyFont="1" applyFill="1" applyBorder="1" applyAlignment="1">
      <alignment horizontal="center" vertical="center"/>
    </xf>
    <xf numFmtId="3" fontId="63" fillId="14" borderId="116" xfId="0" applyNumberFormat="1" applyFont="1" applyFill="1" applyBorder="1" applyAlignment="1">
      <alignment horizontal="center" vertical="center"/>
    </xf>
    <xf numFmtId="3" fontId="63" fillId="14" borderId="90" xfId="0" applyNumberFormat="1" applyFont="1" applyFill="1" applyBorder="1" applyAlignment="1">
      <alignment horizontal="center" vertical="center"/>
    </xf>
    <xf numFmtId="3" fontId="63" fillId="14" borderId="121" xfId="0" applyNumberFormat="1" applyFont="1" applyFill="1" applyBorder="1" applyAlignment="1">
      <alignment horizontal="center" vertical="center"/>
    </xf>
    <xf numFmtId="3" fontId="63" fillId="14" borderId="0" xfId="0" applyNumberFormat="1" applyFont="1" applyFill="1" applyBorder="1" applyAlignment="1">
      <alignment horizontal="center" vertical="center"/>
    </xf>
    <xf numFmtId="3" fontId="63" fillId="14" borderId="46" xfId="0" applyNumberFormat="1" applyFont="1" applyFill="1" applyBorder="1" applyAlignment="1">
      <alignment horizontal="center" vertical="center"/>
    </xf>
    <xf numFmtId="3" fontId="63" fillId="14" borderId="40" xfId="0" applyNumberFormat="1" applyFont="1" applyFill="1" applyBorder="1" applyAlignment="1">
      <alignment horizontal="center" vertical="center"/>
    </xf>
    <xf numFmtId="3" fontId="63" fillId="14" borderId="143" xfId="0" applyNumberFormat="1" applyFont="1" applyFill="1" applyBorder="1" applyAlignment="1">
      <alignment horizontal="center" vertical="center"/>
    </xf>
    <xf numFmtId="3" fontId="63" fillId="14" borderId="307" xfId="0" applyNumberFormat="1" applyFont="1" applyFill="1" applyBorder="1" applyAlignment="1">
      <alignment horizontal="center" vertical="center"/>
    </xf>
    <xf numFmtId="165" fontId="12" fillId="15" borderId="282" xfId="0" applyNumberFormat="1" applyFont="1" applyFill="1" applyBorder="1" applyAlignment="1">
      <alignment vertical="center" wrapText="1"/>
    </xf>
    <xf numFmtId="165" fontId="12" fillId="15" borderId="79" xfId="0" applyNumberFormat="1" applyFont="1" applyFill="1" applyBorder="1" applyAlignment="1">
      <alignment vertical="center" wrapText="1"/>
    </xf>
    <xf numFmtId="0" fontId="12" fillId="15" borderId="180" xfId="0" applyFont="1" applyFill="1" applyBorder="1" applyAlignment="1">
      <alignment horizontal="center" vertical="center" wrapText="1"/>
    </xf>
    <xf numFmtId="165" fontId="12" fillId="15" borderId="279" xfId="0" applyNumberFormat="1" applyFont="1" applyFill="1" applyBorder="1" applyAlignment="1">
      <alignment vertical="center" wrapText="1"/>
    </xf>
    <xf numFmtId="165" fontId="12" fillId="15" borderId="283" xfId="0" applyNumberFormat="1" applyFont="1" applyFill="1" applyBorder="1" applyAlignment="1">
      <alignment vertical="center" wrapText="1"/>
    </xf>
    <xf numFmtId="0" fontId="7" fillId="0" borderId="0" xfId="0" applyFont="1" applyFill="1" applyBorder="1" applyAlignment="1">
      <alignment horizontal="left" vertical="center"/>
    </xf>
    <xf numFmtId="0" fontId="20" fillId="8" borderId="0" xfId="0" applyFont="1" applyFill="1" applyBorder="1" applyAlignment="1">
      <alignment horizontal="left" vertical="center" indent="1"/>
    </xf>
    <xf numFmtId="0" fontId="20" fillId="0" borderId="0" xfId="0" applyFont="1" applyFill="1" applyBorder="1" applyAlignment="1">
      <alignment horizontal="left" vertical="center" indent="1"/>
    </xf>
    <xf numFmtId="3" fontId="17" fillId="5" borderId="12" xfId="1" applyNumberFormat="1" applyFont="1" applyFill="1" applyBorder="1" applyAlignment="1" applyProtection="1">
      <alignment horizontal="right" vertical="center"/>
    </xf>
    <xf numFmtId="3" fontId="17" fillId="5" borderId="10" xfId="1" applyNumberFormat="1" applyFont="1" applyFill="1" applyBorder="1" applyAlignment="1" applyProtection="1">
      <alignment horizontal="right" vertical="center"/>
    </xf>
    <xf numFmtId="3" fontId="17" fillId="5" borderId="40" xfId="1" applyNumberFormat="1" applyFont="1" applyFill="1" applyBorder="1" applyAlignment="1" applyProtection="1">
      <alignment horizontal="right" vertical="center"/>
    </xf>
    <xf numFmtId="3" fontId="17" fillId="0" borderId="12" xfId="1" applyNumberFormat="1" applyFont="1" applyFill="1" applyBorder="1" applyAlignment="1" applyProtection="1">
      <alignment horizontal="right" vertical="center"/>
    </xf>
    <xf numFmtId="3" fontId="17" fillId="0" borderId="10" xfId="1" applyNumberFormat="1" applyFont="1" applyFill="1" applyBorder="1" applyAlignment="1" applyProtection="1">
      <alignment horizontal="right" vertical="center"/>
    </xf>
    <xf numFmtId="3" fontId="17" fillId="0" borderId="40" xfId="1" applyNumberFormat="1" applyFont="1" applyFill="1" applyBorder="1" applyAlignment="1" applyProtection="1">
      <alignment horizontal="right" vertical="center"/>
    </xf>
    <xf numFmtId="3" fontId="31" fillId="0" borderId="12" xfId="1" applyNumberFormat="1" applyFont="1" applyFill="1" applyBorder="1" applyAlignment="1" applyProtection="1">
      <alignment horizontal="right" vertical="center"/>
    </xf>
    <xf numFmtId="3" fontId="31" fillId="0" borderId="10" xfId="1" applyNumberFormat="1" applyFont="1" applyFill="1" applyBorder="1" applyAlignment="1" applyProtection="1">
      <alignment horizontal="right" vertical="center"/>
    </xf>
    <xf numFmtId="3" fontId="31" fillId="0" borderId="40" xfId="1" applyNumberFormat="1" applyFont="1" applyFill="1" applyBorder="1" applyAlignment="1" applyProtection="1">
      <alignment horizontal="right" vertical="center"/>
    </xf>
    <xf numFmtId="3" fontId="31" fillId="0" borderId="54" xfId="1" applyNumberFormat="1" applyFont="1" applyFill="1" applyBorder="1" applyAlignment="1" applyProtection="1">
      <alignment horizontal="right" vertical="center"/>
    </xf>
    <xf numFmtId="3" fontId="31" fillId="0" borderId="55" xfId="1" applyNumberFormat="1" applyFont="1" applyFill="1" applyBorder="1" applyAlignment="1" applyProtection="1">
      <alignment horizontal="right" vertical="center"/>
    </xf>
    <xf numFmtId="3" fontId="31" fillId="0" borderId="43" xfId="1" applyNumberFormat="1" applyFont="1" applyFill="1" applyBorder="1" applyAlignment="1" applyProtection="1">
      <alignment horizontal="right" vertical="center"/>
    </xf>
    <xf numFmtId="0" fontId="5" fillId="0" borderId="35" xfId="0" applyFont="1" applyFill="1" applyBorder="1" applyAlignment="1">
      <alignment horizontal="right" vertical="center"/>
    </xf>
    <xf numFmtId="3" fontId="7" fillId="4" borderId="355" xfId="1" applyNumberFormat="1" applyFont="1" applyFill="1" applyBorder="1" applyAlignment="1" applyProtection="1">
      <alignment horizontal="right" vertical="center"/>
    </xf>
    <xf numFmtId="3" fontId="7" fillId="4" borderId="72" xfId="1" applyNumberFormat="1" applyFont="1" applyFill="1" applyBorder="1" applyAlignment="1" applyProtection="1">
      <alignment horizontal="right" vertical="center"/>
    </xf>
    <xf numFmtId="3" fontId="7" fillId="4" borderId="356" xfId="1" applyNumberFormat="1" applyFont="1" applyFill="1" applyBorder="1" applyAlignment="1" applyProtection="1">
      <alignment horizontal="right" vertical="center"/>
    </xf>
    <xf numFmtId="0" fontId="5" fillId="0" borderId="36" xfId="0" applyFont="1" applyFill="1" applyBorder="1" applyAlignment="1">
      <alignment horizontal="right" vertical="center"/>
    </xf>
    <xf numFmtId="3" fontId="7" fillId="4" borderId="71" xfId="1" applyNumberFormat="1" applyFont="1" applyFill="1" applyBorder="1" applyAlignment="1" applyProtection="1">
      <alignment horizontal="right" vertical="center"/>
    </xf>
    <xf numFmtId="3" fontId="7" fillId="4" borderId="357" xfId="1" applyNumberFormat="1" applyFont="1" applyFill="1" applyBorder="1" applyAlignment="1" applyProtection="1">
      <alignment horizontal="right" vertical="center"/>
    </xf>
    <xf numFmtId="0" fontId="5" fillId="0" borderId="358" xfId="0" applyFont="1" applyFill="1" applyBorder="1" applyAlignment="1">
      <alignment horizontal="right" vertical="center"/>
    </xf>
    <xf numFmtId="0" fontId="5" fillId="0" borderId="359" xfId="0" applyFont="1" applyFill="1" applyBorder="1" applyAlignment="1">
      <alignment horizontal="right" vertical="center"/>
    </xf>
    <xf numFmtId="0" fontId="5" fillId="0" borderId="152" xfId="0" applyFont="1" applyFill="1" applyBorder="1" applyAlignment="1">
      <alignment horizontal="right" vertical="center"/>
    </xf>
    <xf numFmtId="0" fontId="5" fillId="0" borderId="155" xfId="0" applyFont="1" applyFill="1" applyBorder="1" applyAlignment="1">
      <alignment horizontal="right" vertical="center"/>
    </xf>
    <xf numFmtId="0" fontId="17" fillId="0" borderId="40" xfId="0" applyFont="1" applyFill="1" applyBorder="1" applyAlignment="1">
      <alignment horizontal="left" vertical="center"/>
    </xf>
    <xf numFmtId="0" fontId="17" fillId="0" borderId="39" xfId="0" applyFont="1" applyFill="1" applyBorder="1" applyAlignment="1">
      <alignment horizontal="left" vertical="center"/>
    </xf>
    <xf numFmtId="165" fontId="5" fillId="8" borderId="46" xfId="0" applyNumberFormat="1" applyFont="1" applyFill="1" applyBorder="1" applyAlignment="1">
      <alignment horizontal="center" vertical="center"/>
    </xf>
    <xf numFmtId="165" fontId="47" fillId="0" borderId="253" xfId="0" applyNumberFormat="1" applyFont="1" applyBorder="1" applyAlignment="1">
      <alignment horizontal="center" vertical="center"/>
    </xf>
    <xf numFmtId="3" fontId="99" fillId="0" borderId="90" xfId="0" applyNumberFormat="1" applyFont="1" applyBorder="1" applyAlignment="1">
      <alignment horizontal="center" vertical="center"/>
    </xf>
    <xf numFmtId="3" fontId="99" fillId="0" borderId="293" xfId="1" applyNumberFormat="1" applyFont="1" applyFill="1" applyBorder="1" applyAlignment="1" applyProtection="1">
      <alignment horizontal="center" vertical="center"/>
    </xf>
    <xf numFmtId="0" fontId="12" fillId="4" borderId="361" xfId="0" applyFont="1" applyFill="1" applyBorder="1" applyAlignment="1">
      <alignment horizontal="center" vertical="center" wrapText="1"/>
    </xf>
    <xf numFmtId="0" fontId="4" fillId="0" borderId="267" xfId="0" applyFont="1" applyBorder="1" applyAlignment="1">
      <alignment horizontal="center" vertical="center" wrapText="1"/>
    </xf>
    <xf numFmtId="0" fontId="4" fillId="0" borderId="31" xfId="0" applyFont="1" applyBorder="1" applyAlignment="1">
      <alignment horizontal="center" vertical="center" wrapText="1"/>
    </xf>
    <xf numFmtId="0" fontId="12" fillId="4" borderId="283" xfId="0" applyFont="1" applyFill="1" applyBorder="1" applyAlignment="1">
      <alignment horizontal="center" vertical="center" wrapText="1"/>
    </xf>
    <xf numFmtId="0" fontId="12" fillId="4" borderId="362" xfId="0" applyFont="1" applyFill="1" applyBorder="1" applyAlignment="1">
      <alignment horizontal="center" vertical="center" wrapText="1"/>
    </xf>
    <xf numFmtId="0" fontId="12" fillId="4" borderId="285" xfId="0" applyFont="1" applyFill="1" applyBorder="1" applyAlignment="1">
      <alignment horizontal="center" vertical="center" wrapText="1"/>
    </xf>
    <xf numFmtId="0" fontId="12" fillId="0" borderId="79" xfId="0" applyFont="1" applyFill="1" applyBorder="1" applyAlignment="1">
      <alignment horizontal="center" vertical="center" wrapText="1"/>
    </xf>
    <xf numFmtId="0" fontId="12" fillId="4" borderId="147" xfId="0" applyFont="1" applyFill="1" applyBorder="1" applyAlignment="1">
      <alignment horizontal="center" vertical="center" wrapText="1"/>
    </xf>
    <xf numFmtId="0" fontId="12" fillId="4" borderId="219" xfId="0" applyFont="1" applyFill="1" applyBorder="1" applyAlignment="1">
      <alignment horizontal="center" vertical="center" wrapText="1"/>
    </xf>
    <xf numFmtId="0" fontId="12" fillId="4" borderId="364" xfId="0" applyFont="1" applyFill="1" applyBorder="1" applyAlignment="1">
      <alignment horizontal="center" vertical="center" wrapText="1"/>
    </xf>
    <xf numFmtId="0" fontId="12" fillId="0" borderId="363" xfId="0" applyFont="1" applyBorder="1" applyAlignment="1">
      <alignment horizontal="center" vertical="center" wrapText="1"/>
    </xf>
    <xf numFmtId="0" fontId="39" fillId="0" borderId="261" xfId="0" applyFont="1" applyBorder="1" applyAlignment="1">
      <alignment horizontal="center" vertical="center" wrapText="1"/>
    </xf>
    <xf numFmtId="0" fontId="39" fillId="0" borderId="258" xfId="0" applyFont="1" applyBorder="1" applyAlignment="1">
      <alignment horizontal="center" vertical="center" wrapText="1"/>
    </xf>
    <xf numFmtId="165" fontId="4" fillId="15" borderId="121" xfId="0" applyNumberFormat="1" applyFont="1" applyFill="1" applyBorder="1" applyAlignment="1">
      <alignment horizontal="center" vertical="center"/>
    </xf>
    <xf numFmtId="0" fontId="17" fillId="0" borderId="46" xfId="0" applyFont="1" applyBorder="1" applyAlignment="1">
      <alignment horizontal="center" vertical="center" wrapText="1"/>
    </xf>
    <xf numFmtId="0" fontId="17" fillId="0" borderId="46" xfId="0" applyFont="1" applyBorder="1" applyAlignment="1">
      <alignment horizontal="center" vertical="center"/>
    </xf>
    <xf numFmtId="0" fontId="106" fillId="0" borderId="0" xfId="0" applyFont="1" applyAlignment="1">
      <alignment vertical="center"/>
    </xf>
    <xf numFmtId="0" fontId="108" fillId="0" borderId="0" xfId="0" applyFont="1" applyAlignment="1">
      <alignment vertical="center"/>
    </xf>
    <xf numFmtId="0" fontId="107" fillId="0" borderId="0" xfId="0" applyFont="1" applyAlignment="1">
      <alignment horizontal="right" vertical="center"/>
    </xf>
    <xf numFmtId="3" fontId="107" fillId="0" borderId="0" xfId="0" applyNumberFormat="1" applyFont="1" applyAlignment="1">
      <alignment horizontal="center" vertical="center"/>
    </xf>
    <xf numFmtId="0" fontId="48" fillId="15" borderId="25" xfId="0" applyFont="1" applyFill="1" applyBorder="1" applyAlignment="1">
      <alignment vertical="center" wrapText="1"/>
    </xf>
    <xf numFmtId="9" fontId="12" fillId="0" borderId="0" xfId="0" applyNumberFormat="1" applyFont="1" applyAlignment="1">
      <alignment vertical="center" wrapText="1"/>
    </xf>
    <xf numFmtId="0" fontId="12" fillId="0" borderId="373" xfId="0" applyFont="1" applyBorder="1" applyAlignment="1">
      <alignment horizontal="center" vertical="center" wrapText="1"/>
    </xf>
    <xf numFmtId="0" fontId="12" fillId="0" borderId="374" xfId="0" applyFont="1" applyBorder="1" applyAlignment="1">
      <alignment horizontal="center" vertical="center" wrapText="1"/>
    </xf>
    <xf numFmtId="0" fontId="12" fillId="0" borderId="375" xfId="0" applyFont="1" applyBorder="1" applyAlignment="1">
      <alignment horizontal="center" vertical="center" wrapText="1"/>
    </xf>
    <xf numFmtId="165" fontId="12" fillId="0" borderId="377" xfId="0" applyNumberFormat="1" applyFont="1" applyBorder="1" applyAlignment="1">
      <alignment horizontal="center" vertical="center" wrapText="1"/>
    </xf>
    <xf numFmtId="165" fontId="12" fillId="0" borderId="378" xfId="0" applyNumberFormat="1" applyFont="1" applyBorder="1" applyAlignment="1">
      <alignment horizontal="center" vertical="center" wrapText="1"/>
    </xf>
    <xf numFmtId="165" fontId="12" fillId="0" borderId="376" xfId="0" applyNumberFormat="1" applyFont="1" applyBorder="1" applyAlignment="1">
      <alignment horizontal="center" vertical="center" wrapText="1"/>
    </xf>
    <xf numFmtId="9" fontId="12" fillId="0" borderId="379" xfId="2" applyNumberFormat="1" applyFont="1" applyBorder="1" applyAlignment="1">
      <alignment horizontal="center" vertical="center" wrapText="1"/>
    </xf>
    <xf numFmtId="0" fontId="4" fillId="0" borderId="84" xfId="0" applyFont="1" applyBorder="1" applyAlignment="1">
      <alignment horizontal="center" vertical="center" wrapText="1"/>
    </xf>
    <xf numFmtId="0" fontId="94" fillId="0" borderId="0" xfId="0" applyFont="1" applyFill="1" applyBorder="1" applyAlignment="1">
      <alignment horizontal="left" vertical="center"/>
    </xf>
    <xf numFmtId="0" fontId="12" fillId="0" borderId="19" xfId="0" applyFont="1" applyBorder="1" applyAlignment="1">
      <alignment vertical="center"/>
    </xf>
    <xf numFmtId="165" fontId="4" fillId="0" borderId="169" xfId="1" applyNumberFormat="1" applyFont="1" applyFill="1" applyBorder="1" applyAlignment="1" applyProtection="1">
      <alignment horizontal="center" vertical="center"/>
    </xf>
    <xf numFmtId="3" fontId="4" fillId="5" borderId="105" xfId="0" applyNumberFormat="1" applyFont="1" applyFill="1" applyBorder="1" applyAlignment="1">
      <alignment horizontal="center" vertical="center"/>
    </xf>
    <xf numFmtId="3" fontId="4" fillId="5" borderId="146" xfId="0" applyNumberFormat="1" applyFont="1" applyFill="1" applyBorder="1" applyAlignment="1">
      <alignment horizontal="center" vertical="center"/>
    </xf>
    <xf numFmtId="165" fontId="4" fillId="0" borderId="371" xfId="0" applyNumberFormat="1" applyFont="1" applyFill="1" applyBorder="1" applyAlignment="1">
      <alignment horizontal="center" vertical="center"/>
    </xf>
    <xf numFmtId="3" fontId="4" fillId="5" borderId="46" xfId="0" applyNumberFormat="1" applyFont="1" applyFill="1" applyBorder="1" applyAlignment="1">
      <alignment horizontal="center" vertical="center"/>
    </xf>
    <xf numFmtId="165" fontId="5" fillId="0" borderId="384" xfId="1" applyNumberFormat="1" applyFont="1" applyFill="1" applyBorder="1" applyAlignment="1" applyProtection="1">
      <alignment horizontal="center" vertical="center"/>
    </xf>
    <xf numFmtId="165" fontId="5" fillId="0" borderId="361" xfId="1" applyNumberFormat="1" applyFont="1" applyFill="1" applyBorder="1" applyAlignment="1" applyProtection="1">
      <alignment horizontal="center" vertical="center"/>
    </xf>
    <xf numFmtId="165" fontId="13" fillId="0" borderId="282" xfId="0" applyNumberFormat="1" applyFont="1" applyBorder="1" applyAlignment="1">
      <alignment horizontal="center" vertical="center"/>
    </xf>
    <xf numFmtId="165" fontId="13" fillId="0" borderId="364" xfId="0" applyNumberFormat="1" applyFont="1" applyBorder="1" applyAlignment="1">
      <alignment horizontal="center" vertical="center"/>
    </xf>
    <xf numFmtId="165" fontId="13" fillId="0" borderId="234" xfId="0" applyNumberFormat="1" applyFont="1" applyBorder="1" applyAlignment="1">
      <alignment horizontal="center" vertical="center"/>
    </xf>
    <xf numFmtId="0" fontId="3" fillId="0" borderId="121" xfId="0" applyNumberFormat="1" applyFont="1" applyBorder="1" applyAlignment="1">
      <alignment horizontal="center" vertical="center" wrapText="1"/>
    </xf>
    <xf numFmtId="1" fontId="3" fillId="0" borderId="387" xfId="0" applyNumberFormat="1" applyFont="1" applyBorder="1" applyAlignment="1">
      <alignment horizontal="center" vertical="center" wrapText="1"/>
    </xf>
    <xf numFmtId="0" fontId="72" fillId="15" borderId="236" xfId="0" applyFont="1" applyFill="1" applyBorder="1" applyAlignment="1">
      <alignment vertical="center"/>
    </xf>
    <xf numFmtId="0" fontId="72" fillId="15" borderId="241" xfId="0" applyFont="1" applyFill="1" applyBorder="1" applyAlignment="1">
      <alignment vertical="center"/>
    </xf>
    <xf numFmtId="164" fontId="4" fillId="15" borderId="213" xfId="1" applyNumberFormat="1" applyFont="1" applyFill="1" applyBorder="1" applyAlignment="1" applyProtection="1">
      <alignment vertical="center"/>
    </xf>
    <xf numFmtId="0" fontId="0" fillId="0" borderId="0" xfId="0" applyAlignment="1">
      <alignment vertical="center"/>
    </xf>
    <xf numFmtId="0" fontId="7" fillId="0" borderId="344" xfId="0" applyFont="1" applyFill="1" applyBorder="1" applyAlignment="1">
      <alignment horizontal="left" vertical="center" indent="1"/>
    </xf>
    <xf numFmtId="0" fontId="106" fillId="0" borderId="0" xfId="0" applyFont="1" applyAlignment="1">
      <alignment horizontal="justify" vertical="center" wrapText="1"/>
    </xf>
    <xf numFmtId="0" fontId="0" fillId="0" borderId="0" xfId="0" applyAlignment="1">
      <alignment vertical="center" wrapText="1"/>
    </xf>
    <xf numFmtId="0" fontId="0" fillId="0" borderId="22" xfId="0" applyBorder="1" applyAlignment="1">
      <alignment vertical="center" wrapText="1"/>
    </xf>
    <xf numFmtId="3" fontId="0" fillId="0" borderId="22" xfId="0" applyNumberFormat="1" applyBorder="1" applyAlignment="1">
      <alignment vertical="center" wrapText="1"/>
    </xf>
    <xf numFmtId="183" fontId="109" fillId="0" borderId="31" xfId="0" applyNumberFormat="1" applyFont="1" applyFill="1" applyBorder="1" applyAlignment="1">
      <alignment horizontal="center" vertical="center"/>
    </xf>
    <xf numFmtId="183" fontId="109" fillId="0" borderId="87" xfId="0" applyNumberFormat="1" applyFont="1" applyFill="1" applyBorder="1" applyAlignment="1">
      <alignment horizontal="center" vertical="center"/>
    </xf>
    <xf numFmtId="183" fontId="110" fillId="0" borderId="31" xfId="0" applyNumberFormat="1" applyFont="1" applyFill="1" applyBorder="1" applyAlignment="1">
      <alignment horizontal="center" vertical="center"/>
    </xf>
    <xf numFmtId="183" fontId="110" fillId="0" borderId="217" xfId="0" applyNumberFormat="1" applyFont="1" applyFill="1" applyBorder="1" applyAlignment="1">
      <alignment horizontal="center" vertical="center"/>
    </xf>
    <xf numFmtId="183" fontId="109" fillId="0" borderId="30" xfId="0" applyNumberFormat="1" applyFont="1" applyFill="1" applyBorder="1" applyAlignment="1">
      <alignment horizontal="center" vertical="center"/>
    </xf>
    <xf numFmtId="183" fontId="109" fillId="0" borderId="217" xfId="0" applyNumberFormat="1" applyFont="1" applyFill="1" applyBorder="1" applyAlignment="1">
      <alignment horizontal="center" vertical="center"/>
    </xf>
    <xf numFmtId="0" fontId="20" fillId="8" borderId="0" xfId="0" applyFont="1" applyFill="1" applyBorder="1" applyAlignment="1">
      <alignment horizontal="left" vertical="center" indent="1"/>
    </xf>
    <xf numFmtId="0" fontId="44" fillId="11" borderId="84" xfId="0" applyFont="1" applyFill="1" applyBorder="1" applyAlignment="1">
      <alignment vertical="center" wrapText="1"/>
    </xf>
    <xf numFmtId="165" fontId="39" fillId="0" borderId="133" xfId="0" applyNumberFormat="1" applyFont="1" applyBorder="1" applyAlignment="1">
      <alignment horizontal="center" vertical="center" wrapText="1"/>
    </xf>
    <xf numFmtId="165" fontId="7" fillId="0" borderId="240" xfId="0" applyNumberFormat="1" applyFont="1" applyBorder="1" applyAlignment="1">
      <alignment horizontal="center" vertical="center" wrapText="1"/>
    </xf>
    <xf numFmtId="165" fontId="7" fillId="0" borderId="30" xfId="0" applyNumberFormat="1" applyFont="1" applyBorder="1" applyAlignment="1">
      <alignment vertical="center"/>
    </xf>
    <xf numFmtId="3" fontId="7" fillId="1" borderId="399" xfId="0" applyNumberFormat="1" applyFont="1" applyFill="1" applyBorder="1" applyAlignment="1">
      <alignment horizontal="center" vertical="center"/>
    </xf>
    <xf numFmtId="3" fontId="7" fillId="0" borderId="144" xfId="0" applyNumberFormat="1" applyFont="1" applyFill="1" applyBorder="1" applyAlignment="1">
      <alignment horizontal="center" vertical="center"/>
    </xf>
    <xf numFmtId="172" fontId="7" fillId="0" borderId="144" xfId="2" applyNumberFormat="1" applyFont="1" applyFill="1" applyBorder="1" applyAlignment="1">
      <alignment horizontal="center" vertical="center"/>
    </xf>
    <xf numFmtId="3" fontId="111" fillId="0" borderId="113" xfId="0" applyNumberFormat="1" applyFont="1" applyFill="1" applyBorder="1" applyAlignment="1">
      <alignment horizontal="center" vertical="center"/>
    </xf>
    <xf numFmtId="3" fontId="111" fillId="0" borderId="121" xfId="0" applyNumberFormat="1" applyFont="1" applyFill="1" applyBorder="1" applyAlignment="1">
      <alignment horizontal="center" vertical="center"/>
    </xf>
    <xf numFmtId="172" fontId="7" fillId="0" borderId="169" xfId="2" applyNumberFormat="1" applyFont="1" applyFill="1" applyBorder="1" applyAlignment="1">
      <alignment horizontal="center" vertical="center"/>
    </xf>
    <xf numFmtId="172" fontId="7" fillId="8" borderId="146" xfId="2" applyNumberFormat="1" applyFont="1" applyFill="1" applyBorder="1" applyAlignment="1">
      <alignment horizontal="center" vertical="center"/>
    </xf>
    <xf numFmtId="3" fontId="7" fillId="0" borderId="169" xfId="0" applyNumberFormat="1" applyFont="1" applyFill="1" applyBorder="1" applyAlignment="1">
      <alignment horizontal="center" vertical="center"/>
    </xf>
    <xf numFmtId="3" fontId="7" fillId="8" borderId="146" xfId="0" applyNumberFormat="1" applyFont="1" applyFill="1" applyBorder="1" applyAlignment="1">
      <alignment horizontal="center" vertical="center"/>
    </xf>
    <xf numFmtId="3" fontId="7" fillId="8" borderId="400" xfId="0" applyNumberFormat="1" applyFont="1" applyFill="1" applyBorder="1" applyAlignment="1">
      <alignment horizontal="center" vertical="center"/>
    </xf>
    <xf numFmtId="3" fontId="7" fillId="8" borderId="19" xfId="0" applyNumberFormat="1" applyFont="1" applyFill="1" applyBorder="1" applyAlignment="1">
      <alignment horizontal="center" vertical="center"/>
    </xf>
    <xf numFmtId="3" fontId="7" fillId="8" borderId="303" xfId="0" applyNumberFormat="1" applyFont="1" applyFill="1" applyBorder="1" applyAlignment="1">
      <alignment horizontal="center" vertical="center"/>
    </xf>
    <xf numFmtId="3" fontId="7" fillId="0" borderId="99" xfId="0" applyNumberFormat="1" applyFont="1" applyFill="1" applyBorder="1" applyAlignment="1">
      <alignment horizontal="center" vertical="center"/>
    </xf>
    <xf numFmtId="3" fontId="7" fillId="8" borderId="138" xfId="0" applyNumberFormat="1" applyFont="1" applyFill="1" applyBorder="1" applyAlignment="1">
      <alignment horizontal="center" vertical="center"/>
    </xf>
    <xf numFmtId="3" fontId="7" fillId="1" borderId="99" xfId="0" applyNumberFormat="1" applyFont="1" applyFill="1" applyBorder="1" applyAlignment="1">
      <alignment horizontal="center" vertical="center"/>
    </xf>
    <xf numFmtId="3" fontId="7" fillId="1" borderId="146" xfId="0" applyNumberFormat="1" applyFont="1" applyFill="1" applyBorder="1" applyAlignment="1">
      <alignment horizontal="center" vertical="center"/>
    </xf>
    <xf numFmtId="3" fontId="7" fillId="1" borderId="105" xfId="0" applyNumberFormat="1" applyFont="1" applyFill="1" applyBorder="1" applyAlignment="1">
      <alignment horizontal="center" vertical="center"/>
    </xf>
    <xf numFmtId="3" fontId="7" fillId="1" borderId="138" xfId="0" applyNumberFormat="1" applyFont="1" applyFill="1" applyBorder="1" applyAlignment="1">
      <alignment horizontal="center" vertical="center"/>
    </xf>
    <xf numFmtId="9" fontId="7" fillId="0" borderId="401" xfId="2" applyFont="1" applyFill="1" applyBorder="1" applyAlignment="1">
      <alignment horizontal="center" vertical="center"/>
    </xf>
    <xf numFmtId="172" fontId="7" fillId="0" borderId="99" xfId="2" applyNumberFormat="1" applyFont="1" applyFill="1" applyBorder="1" applyAlignment="1">
      <alignment horizontal="center" vertical="center"/>
    </xf>
    <xf numFmtId="1" fontId="17" fillId="0" borderId="300" xfId="0" applyNumberFormat="1" applyFont="1" applyBorder="1" applyAlignment="1">
      <alignment horizontal="center" vertical="center"/>
    </xf>
    <xf numFmtId="0" fontId="17" fillId="0" borderId="300" xfId="0" applyFont="1" applyBorder="1" applyAlignment="1">
      <alignment horizontal="center" vertical="center"/>
    </xf>
    <xf numFmtId="172" fontId="7" fillId="0" borderId="402" xfId="2" applyNumberFormat="1" applyFont="1" applyFill="1" applyBorder="1" applyAlignment="1">
      <alignment horizontal="center" vertical="center"/>
    </xf>
    <xf numFmtId="3" fontId="7" fillId="0" borderId="32" xfId="0" applyNumberFormat="1" applyFont="1" applyFill="1" applyBorder="1" applyAlignment="1">
      <alignment horizontal="center" vertical="center"/>
    </xf>
    <xf numFmtId="3" fontId="7" fillId="0" borderId="32" xfId="0" applyNumberFormat="1" applyFont="1" applyBorder="1" applyAlignment="1">
      <alignment horizontal="center" vertical="center"/>
    </xf>
    <xf numFmtId="3" fontId="7" fillId="0" borderId="44" xfId="0" applyNumberFormat="1" applyFont="1" applyBorder="1" applyAlignment="1">
      <alignment horizontal="center" vertical="center"/>
    </xf>
    <xf numFmtId="3" fontId="7" fillId="0" borderId="138" xfId="0" applyNumberFormat="1" applyFont="1" applyBorder="1" applyAlignment="1">
      <alignment horizontal="center" vertical="center"/>
    </xf>
    <xf numFmtId="3" fontId="7" fillId="0" borderId="302" xfId="0" applyNumberFormat="1" applyFont="1" applyFill="1" applyBorder="1" applyAlignment="1">
      <alignment horizontal="center" vertical="center"/>
    </xf>
    <xf numFmtId="3" fontId="7" fillId="0" borderId="290" xfId="0" applyNumberFormat="1" applyFont="1" applyBorder="1" applyAlignment="1">
      <alignment horizontal="center" vertical="center"/>
    </xf>
    <xf numFmtId="3" fontId="7" fillId="0" borderId="146" xfId="0" applyNumberFormat="1" applyFont="1" applyBorder="1" applyAlignment="1">
      <alignment horizontal="center" vertical="center"/>
    </xf>
    <xf numFmtId="3" fontId="7" fillId="0" borderId="105" xfId="0" applyNumberFormat="1" applyFont="1" applyBorder="1" applyAlignment="1">
      <alignment horizontal="center" vertical="center"/>
    </xf>
    <xf numFmtId="3" fontId="7" fillId="0" borderId="43" xfId="0" applyNumberFormat="1" applyFont="1" applyBorder="1" applyAlignment="1">
      <alignment horizontal="center" vertical="center"/>
    </xf>
    <xf numFmtId="3" fontId="7" fillId="0" borderId="0" xfId="0" applyNumberFormat="1" applyFont="1" applyBorder="1" applyAlignment="1">
      <alignment horizontal="center" vertical="center"/>
    </xf>
    <xf numFmtId="0" fontId="7" fillId="0" borderId="46" xfId="0" applyFont="1" applyBorder="1" applyAlignment="1">
      <alignment vertical="center"/>
    </xf>
    <xf numFmtId="0" fontId="17" fillId="0" borderId="46" xfId="0" applyFont="1" applyFill="1" applyBorder="1" applyAlignment="1">
      <alignment vertical="center"/>
    </xf>
    <xf numFmtId="172" fontId="49" fillId="0" borderId="40" xfId="0" applyNumberFormat="1" applyFont="1" applyFill="1" applyBorder="1" applyAlignment="1">
      <alignment horizontal="center" vertical="center"/>
    </xf>
    <xf numFmtId="172" fontId="49" fillId="8" borderId="29" xfId="0" applyNumberFormat="1" applyFont="1" applyFill="1" applyBorder="1" applyAlignment="1">
      <alignment horizontal="center" vertical="center"/>
    </xf>
    <xf numFmtId="172" fontId="49" fillId="8" borderId="41" xfId="0" applyNumberFormat="1" applyFont="1" applyFill="1" applyBorder="1" applyAlignment="1">
      <alignment horizontal="center" vertical="center"/>
    </xf>
    <xf numFmtId="172" fontId="49" fillId="8" borderId="46" xfId="0" applyNumberFormat="1" applyFont="1" applyFill="1" applyBorder="1" applyAlignment="1">
      <alignment horizontal="center" vertical="center"/>
    </xf>
    <xf numFmtId="172" fontId="49" fillId="8" borderId="212" xfId="0" applyNumberFormat="1" applyFont="1" applyFill="1" applyBorder="1" applyAlignment="1">
      <alignment horizontal="center" vertical="center"/>
    </xf>
    <xf numFmtId="172" fontId="49" fillId="8" borderId="232" xfId="0" applyNumberFormat="1" applyFont="1" applyFill="1" applyBorder="1" applyAlignment="1">
      <alignment horizontal="center" vertical="center"/>
    </xf>
    <xf numFmtId="172" fontId="49" fillId="8" borderId="266" xfId="0" applyNumberFormat="1" applyFont="1" applyFill="1" applyBorder="1" applyAlignment="1">
      <alignment horizontal="center" vertical="center"/>
    </xf>
    <xf numFmtId="172" fontId="49" fillId="11" borderId="201" xfId="0" applyNumberFormat="1" applyFont="1" applyFill="1" applyBorder="1" applyAlignment="1">
      <alignment horizontal="center" vertical="center"/>
    </xf>
    <xf numFmtId="172" fontId="49" fillId="11" borderId="338" xfId="0" applyNumberFormat="1" applyFont="1" applyFill="1" applyBorder="1" applyAlignment="1">
      <alignment horizontal="center" vertical="center"/>
    </xf>
    <xf numFmtId="172" fontId="49" fillId="11" borderId="337" xfId="0" applyNumberFormat="1" applyFont="1" applyFill="1" applyBorder="1" applyAlignment="1">
      <alignment horizontal="center" vertical="center"/>
    </xf>
    <xf numFmtId="172" fontId="49" fillId="11" borderId="43" xfId="0" applyNumberFormat="1" applyFont="1" applyFill="1" applyBorder="1" applyAlignment="1">
      <alignment horizontal="center" vertical="center"/>
    </xf>
    <xf numFmtId="172" fontId="49" fillId="8" borderId="40" xfId="0" applyNumberFormat="1" applyFont="1" applyFill="1" applyBorder="1" applyAlignment="1">
      <alignment horizontal="center" vertical="center"/>
    </xf>
    <xf numFmtId="172" fontId="49" fillId="12" borderId="340" xfId="0" applyNumberFormat="1" applyFont="1" applyFill="1" applyBorder="1" applyAlignment="1">
      <alignment horizontal="center" vertical="center"/>
    </xf>
    <xf numFmtId="172" fontId="49" fillId="12" borderId="339" xfId="0" applyNumberFormat="1" applyFont="1" applyFill="1" applyBorder="1" applyAlignment="1">
      <alignment horizontal="center" vertical="center"/>
    </xf>
    <xf numFmtId="172" fontId="49" fillId="12" borderId="224" xfId="0" applyNumberFormat="1" applyFont="1" applyFill="1" applyBorder="1" applyAlignment="1">
      <alignment horizontal="center" vertical="center"/>
    </xf>
    <xf numFmtId="172" fontId="49" fillId="0" borderId="268" xfId="0" applyNumberFormat="1" applyFont="1" applyFill="1" applyBorder="1" applyAlignment="1">
      <alignment horizontal="center" vertical="center"/>
    </xf>
    <xf numFmtId="172" fontId="49" fillId="8" borderId="263" xfId="0" applyNumberFormat="1" applyFont="1" applyFill="1" applyBorder="1" applyAlignment="1">
      <alignment horizontal="center" vertical="center"/>
    </xf>
    <xf numFmtId="172" fontId="49" fillId="0" borderId="336" xfId="0" applyNumberFormat="1" applyFont="1" applyFill="1" applyBorder="1" applyAlignment="1">
      <alignment horizontal="center" vertical="center"/>
    </xf>
    <xf numFmtId="0" fontId="40" fillId="0" borderId="218" xfId="0" applyFont="1" applyBorder="1" applyAlignment="1">
      <alignment horizontal="center" vertical="center"/>
    </xf>
    <xf numFmtId="172" fontId="49" fillId="0" borderId="19" xfId="0" applyNumberFormat="1" applyFont="1" applyFill="1" applyBorder="1" applyAlignment="1">
      <alignment horizontal="center" vertical="center"/>
    </xf>
    <xf numFmtId="172" fontId="49" fillId="0" borderId="217" xfId="0" applyNumberFormat="1" applyFont="1" applyFill="1" applyBorder="1" applyAlignment="1">
      <alignment horizontal="center" vertical="center"/>
    </xf>
    <xf numFmtId="0" fontId="112" fillId="0" borderId="0" xfId="0" applyFont="1" applyFill="1" applyAlignment="1">
      <alignment horizontal="left" vertical="center"/>
    </xf>
    <xf numFmtId="0" fontId="39" fillId="0" borderId="0" xfId="0" applyFont="1" applyAlignment="1">
      <alignment vertical="center"/>
    </xf>
    <xf numFmtId="0" fontId="39" fillId="0" borderId="0" xfId="0" applyFont="1" applyAlignment="1">
      <alignment horizontal="center" vertical="center"/>
    </xf>
    <xf numFmtId="165" fontId="115" fillId="10" borderId="230" xfId="0" applyNumberFormat="1" applyFont="1" applyFill="1" applyBorder="1" applyAlignment="1">
      <alignment horizontal="center" vertical="center"/>
    </xf>
    <xf numFmtId="165" fontId="115" fillId="10" borderId="283" xfId="0" applyNumberFormat="1" applyFont="1" applyFill="1" applyBorder="1" applyAlignment="1">
      <alignment horizontal="center" vertical="center"/>
    </xf>
    <xf numFmtId="165" fontId="115" fillId="10" borderId="299" xfId="0" applyNumberFormat="1" applyFont="1" applyFill="1" applyBorder="1" applyAlignment="1">
      <alignment horizontal="center" vertical="center"/>
    </xf>
    <xf numFmtId="165" fontId="38" fillId="11" borderId="403" xfId="0" applyNumberFormat="1" applyFont="1" applyFill="1" applyBorder="1" applyAlignment="1">
      <alignment horizontal="center" vertical="center"/>
    </xf>
    <xf numFmtId="165" fontId="38" fillId="11" borderId="283" xfId="0" applyNumberFormat="1" applyFont="1" applyFill="1" applyBorder="1" applyAlignment="1">
      <alignment horizontal="center" vertical="center"/>
    </xf>
    <xf numFmtId="165" fontId="38" fillId="11" borderId="299" xfId="0" applyNumberFormat="1" applyFont="1" applyFill="1" applyBorder="1" applyAlignment="1">
      <alignment horizontal="center" vertical="center"/>
    </xf>
    <xf numFmtId="165" fontId="116" fillId="12" borderId="168" xfId="0" applyNumberFormat="1" applyFont="1" applyFill="1" applyBorder="1" applyAlignment="1">
      <alignment horizontal="center" vertical="center" wrapText="1"/>
    </xf>
    <xf numFmtId="165" fontId="116" fillId="12" borderId="330" xfId="0" applyNumberFormat="1" applyFont="1" applyFill="1" applyBorder="1" applyAlignment="1">
      <alignment horizontal="center" vertical="center" wrapText="1"/>
    </xf>
    <xf numFmtId="165" fontId="116" fillId="12" borderId="283" xfId="0" applyNumberFormat="1" applyFont="1" applyFill="1" applyBorder="1" applyAlignment="1">
      <alignment horizontal="center" vertical="center" wrapText="1"/>
    </xf>
    <xf numFmtId="183" fontId="117" fillId="0" borderId="31" xfId="0" applyNumberFormat="1" applyFont="1" applyFill="1" applyBorder="1" applyAlignment="1">
      <alignment horizontal="center" vertical="center"/>
    </xf>
    <xf numFmtId="183" fontId="117" fillId="0" borderId="21" xfId="0" applyNumberFormat="1" applyFont="1" applyFill="1" applyBorder="1" applyAlignment="1">
      <alignment horizontal="center" vertical="center"/>
    </xf>
    <xf numFmtId="0" fontId="21" fillId="0" borderId="19" xfId="0" applyFont="1" applyBorder="1" applyAlignment="1">
      <alignment horizontal="left" vertical="center"/>
    </xf>
    <xf numFmtId="0" fontId="4" fillId="0" borderId="32" xfId="0" applyFont="1" applyBorder="1" applyAlignment="1">
      <alignment horizontal="center" vertical="center" wrapText="1"/>
    </xf>
    <xf numFmtId="0" fontId="72" fillId="17" borderId="0" xfId="0" applyFont="1" applyFill="1" applyAlignment="1">
      <alignment vertical="center"/>
    </xf>
    <xf numFmtId="0" fontId="4" fillId="17" borderId="0" xfId="0" applyFont="1" applyFill="1" applyAlignment="1">
      <alignment vertical="center"/>
    </xf>
    <xf numFmtId="0" fontId="4" fillId="17" borderId="19" xfId="0" applyFont="1" applyFill="1" applyBorder="1" applyAlignment="1">
      <alignment vertical="center"/>
    </xf>
    <xf numFmtId="0" fontId="72" fillId="17" borderId="19" xfId="0" applyFont="1" applyFill="1" applyBorder="1" applyAlignment="1">
      <alignment vertical="center"/>
    </xf>
    <xf numFmtId="0" fontId="72" fillId="17" borderId="40" xfId="0" applyFont="1" applyFill="1" applyBorder="1" applyAlignment="1">
      <alignment vertical="center"/>
    </xf>
    <xf numFmtId="0" fontId="72" fillId="17" borderId="0" xfId="0" applyFont="1" applyFill="1" applyBorder="1" applyAlignment="1">
      <alignment vertical="center"/>
    </xf>
    <xf numFmtId="0" fontId="72" fillId="17" borderId="0" xfId="0" applyFont="1" applyFill="1" applyBorder="1" applyAlignment="1">
      <alignment horizontal="right" vertical="center"/>
    </xf>
    <xf numFmtId="1" fontId="72" fillId="17" borderId="0" xfId="0" applyNumberFormat="1" applyFont="1" applyFill="1" applyBorder="1" applyAlignment="1">
      <alignment vertical="center"/>
    </xf>
    <xf numFmtId="0" fontId="72" fillId="17" borderId="270" xfId="0" applyFont="1" applyFill="1" applyBorder="1" applyAlignment="1">
      <alignment vertical="center"/>
    </xf>
    <xf numFmtId="0" fontId="43" fillId="17" borderId="0" xfId="0" applyFont="1" applyFill="1" applyAlignment="1">
      <alignment horizontal="right" vertical="center"/>
    </xf>
    <xf numFmtId="3" fontId="43" fillId="17" borderId="0" xfId="0" applyNumberFormat="1" applyFont="1" applyFill="1" applyAlignment="1">
      <alignment vertical="center"/>
    </xf>
    <xf numFmtId="0" fontId="14" fillId="17" borderId="0" xfId="0" applyFont="1" applyFill="1" applyAlignment="1">
      <alignment vertical="center"/>
    </xf>
    <xf numFmtId="0" fontId="4" fillId="17" borderId="0" xfId="0" applyFont="1" applyFill="1" applyBorder="1" applyAlignment="1">
      <alignment vertical="center"/>
    </xf>
    <xf numFmtId="0" fontId="72" fillId="17" borderId="20" xfId="0" applyFont="1" applyFill="1" applyBorder="1" applyAlignment="1">
      <alignment vertical="center"/>
    </xf>
    <xf numFmtId="0" fontId="72" fillId="17" borderId="39" xfId="0" applyFont="1" applyFill="1" applyBorder="1" applyAlignment="1">
      <alignment vertical="center"/>
    </xf>
    <xf numFmtId="0" fontId="87" fillId="17" borderId="0" xfId="0" applyFont="1" applyFill="1" applyAlignment="1">
      <alignment vertical="center"/>
    </xf>
    <xf numFmtId="0" fontId="72" fillId="17" borderId="239" xfId="0" applyFont="1" applyFill="1" applyBorder="1" applyAlignment="1">
      <alignment vertical="center"/>
    </xf>
    <xf numFmtId="0" fontId="78" fillId="17" borderId="0" xfId="0" applyFont="1" applyFill="1" applyBorder="1" applyAlignment="1">
      <alignment vertical="center"/>
    </xf>
    <xf numFmtId="0" fontId="21" fillId="17" borderId="0" xfId="0" applyFont="1" applyFill="1" applyBorder="1" applyAlignment="1">
      <alignment vertical="center" wrapText="1"/>
    </xf>
    <xf numFmtId="0" fontId="4" fillId="17" borderId="46" xfId="0" applyFont="1" applyFill="1" applyBorder="1" applyAlignment="1">
      <alignment vertical="center"/>
    </xf>
    <xf numFmtId="0" fontId="4" fillId="17" borderId="34" xfId="0" applyFont="1" applyFill="1" applyBorder="1" applyAlignment="1">
      <alignment vertical="center"/>
    </xf>
    <xf numFmtId="0" fontId="4" fillId="17" borderId="0" xfId="0" applyFont="1" applyFill="1" applyBorder="1" applyAlignment="1">
      <alignment horizontal="right" vertical="center"/>
    </xf>
    <xf numFmtId="172" fontId="49" fillId="8" borderId="0" xfId="0" applyNumberFormat="1" applyFont="1" applyFill="1" applyBorder="1" applyAlignment="1">
      <alignment horizontal="center" vertical="center"/>
    </xf>
    <xf numFmtId="3" fontId="39" fillId="5" borderId="46" xfId="0" applyNumberFormat="1" applyFont="1" applyFill="1" applyBorder="1" applyAlignment="1">
      <alignment horizontal="center" vertical="center"/>
    </xf>
    <xf numFmtId="0" fontId="21" fillId="0" borderId="36" xfId="0" applyFont="1" applyBorder="1" applyAlignment="1">
      <alignment horizontal="center" vertical="center"/>
    </xf>
    <xf numFmtId="0" fontId="12" fillId="0" borderId="36" xfId="0" applyFont="1" applyBorder="1" applyAlignment="1">
      <alignment horizontal="center" vertical="center"/>
    </xf>
    <xf numFmtId="3" fontId="39" fillId="8" borderId="226" xfId="0" applyNumberFormat="1" applyFont="1" applyFill="1" applyBorder="1" applyAlignment="1">
      <alignment horizontal="center" vertical="center"/>
    </xf>
    <xf numFmtId="3" fontId="39" fillId="0" borderId="40" xfId="0" applyNumberFormat="1" applyFont="1" applyFill="1" applyBorder="1" applyAlignment="1">
      <alignment horizontal="center" vertical="center"/>
    </xf>
    <xf numFmtId="43" fontId="39" fillId="5" borderId="265" xfId="1" applyFont="1" applyFill="1" applyBorder="1" applyAlignment="1">
      <alignment horizontal="center" vertical="center"/>
    </xf>
    <xf numFmtId="191" fontId="39" fillId="5" borderId="29" xfId="1" applyNumberFormat="1" applyFont="1" applyFill="1" applyBorder="1" applyAlignment="1">
      <alignment horizontal="center" vertical="center"/>
    </xf>
    <xf numFmtId="3" fontId="39" fillId="0" borderId="46" xfId="0" applyNumberFormat="1" applyFont="1" applyFill="1" applyBorder="1" applyAlignment="1">
      <alignment horizontal="center" vertical="center"/>
    </xf>
    <xf numFmtId="43" fontId="39" fillId="5" borderId="41" xfId="1" applyFont="1" applyFill="1" applyBorder="1" applyAlignment="1">
      <alignment horizontal="center" vertical="center"/>
    </xf>
    <xf numFmtId="3" fontId="39" fillId="8" borderId="143" xfId="0" applyNumberFormat="1" applyFont="1" applyFill="1" applyBorder="1" applyAlignment="1">
      <alignment horizontal="center" vertical="center"/>
    </xf>
    <xf numFmtId="43" fontId="39" fillId="5" borderId="212" xfId="1" applyFont="1" applyFill="1" applyBorder="1" applyAlignment="1">
      <alignment horizontal="center" vertical="center"/>
    </xf>
    <xf numFmtId="191" fontId="39" fillId="5" borderId="46" xfId="1" applyNumberFormat="1" applyFont="1" applyFill="1" applyBorder="1" applyAlignment="1">
      <alignment horizontal="center" vertical="center"/>
    </xf>
    <xf numFmtId="4" fontId="39" fillId="14" borderId="351" xfId="0" applyNumberFormat="1" applyFont="1" applyFill="1" applyBorder="1" applyAlignment="1">
      <alignment horizontal="center" vertical="center"/>
    </xf>
    <xf numFmtId="4" fontId="39" fillId="14" borderId="196" xfId="0" applyNumberFormat="1" applyFont="1" applyFill="1" applyBorder="1" applyAlignment="1">
      <alignment horizontal="center" vertical="center"/>
    </xf>
    <xf numFmtId="3" fontId="39" fillId="4" borderId="40" xfId="0" applyNumberFormat="1" applyFont="1" applyFill="1" applyBorder="1" applyAlignment="1">
      <alignment horizontal="center" vertical="center"/>
    </xf>
    <xf numFmtId="3" fontId="39" fillId="5" borderId="40" xfId="0" applyNumberFormat="1" applyFont="1" applyFill="1" applyBorder="1" applyAlignment="1">
      <alignment horizontal="center" vertical="center"/>
    </xf>
    <xf numFmtId="4" fontId="49" fillId="14" borderId="39" xfId="0" applyNumberFormat="1" applyFont="1" applyFill="1" applyBorder="1" applyAlignment="1">
      <alignment horizontal="center" vertical="center"/>
    </xf>
    <xf numFmtId="4" fontId="39" fillId="8" borderId="167" xfId="0" applyNumberFormat="1" applyFont="1" applyFill="1" applyBorder="1" applyAlignment="1">
      <alignment horizontal="center" vertical="center"/>
    </xf>
    <xf numFmtId="4" fontId="39" fillId="11" borderId="201" xfId="0" applyNumberFormat="1" applyFont="1" applyFill="1" applyBorder="1" applyAlignment="1">
      <alignment horizontal="center" vertical="center"/>
    </xf>
    <xf numFmtId="3" fontId="39" fillId="11" borderId="229" xfId="0" applyNumberFormat="1" applyFont="1" applyFill="1" applyBorder="1" applyAlignment="1">
      <alignment horizontal="center" vertical="center"/>
    </xf>
    <xf numFmtId="3" fontId="38" fillId="11" borderId="225" xfId="0" applyNumberFormat="1" applyFont="1" applyFill="1" applyBorder="1" applyAlignment="1">
      <alignment horizontal="center" vertical="center"/>
    </xf>
    <xf numFmtId="4" fontId="39" fillId="11" borderId="333" xfId="0" applyNumberFormat="1" applyFont="1" applyFill="1" applyBorder="1" applyAlignment="1">
      <alignment horizontal="center" vertical="center"/>
    </xf>
    <xf numFmtId="3" fontId="38" fillId="11" borderId="229" xfId="0" applyNumberFormat="1" applyFont="1" applyFill="1" applyBorder="1" applyAlignment="1">
      <alignment horizontal="center" vertical="center"/>
    </xf>
    <xf numFmtId="3" fontId="38" fillId="11" borderId="224" xfId="0" applyNumberFormat="1" applyFont="1" applyFill="1" applyBorder="1" applyAlignment="1">
      <alignment horizontal="center" vertical="center"/>
    </xf>
    <xf numFmtId="43" fontId="39" fillId="5" borderId="39" xfId="1" applyFont="1" applyFill="1" applyBorder="1" applyAlignment="1">
      <alignment horizontal="center" vertical="center"/>
    </xf>
    <xf numFmtId="191" fontId="39" fillId="5" borderId="34" xfId="1" applyNumberFormat="1" applyFont="1" applyFill="1" applyBorder="1" applyAlignment="1">
      <alignment horizontal="center" vertical="center"/>
    </xf>
    <xf numFmtId="4" fontId="39" fillId="14" borderId="167" xfId="0" applyNumberFormat="1" applyFont="1" applyFill="1" applyBorder="1" applyAlignment="1">
      <alignment horizontal="center" vertical="center"/>
    </xf>
    <xf numFmtId="3" fontId="39" fillId="14" borderId="46" xfId="0" applyNumberFormat="1" applyFont="1" applyFill="1" applyBorder="1" applyAlignment="1">
      <alignment horizontal="center" vertical="center"/>
    </xf>
    <xf numFmtId="4" fontId="39" fillId="14" borderId="350" xfId="0" applyNumberFormat="1" applyFont="1" applyFill="1" applyBorder="1" applyAlignment="1">
      <alignment horizontal="center" vertical="center"/>
    </xf>
    <xf numFmtId="4" fontId="49" fillId="14" borderId="37" xfId="0" applyNumberFormat="1" applyFont="1" applyFill="1" applyBorder="1" applyAlignment="1">
      <alignment horizontal="center" vertical="center"/>
    </xf>
    <xf numFmtId="3" fontId="49" fillId="14" borderId="46" xfId="0" applyNumberFormat="1" applyFont="1" applyFill="1" applyBorder="1" applyAlignment="1">
      <alignment horizontal="center" vertical="center"/>
    </xf>
    <xf numFmtId="4" fontId="39" fillId="14" borderId="199" xfId="0" applyNumberFormat="1" applyFont="1" applyFill="1" applyBorder="1" applyAlignment="1">
      <alignment horizontal="center" vertical="center"/>
    </xf>
    <xf numFmtId="3" fontId="39" fillId="14" borderId="284" xfId="0" applyNumberFormat="1" applyFont="1" applyFill="1" applyBorder="1" applyAlignment="1">
      <alignment horizontal="center" vertical="center"/>
    </xf>
    <xf numFmtId="3" fontId="49" fillId="14" borderId="284" xfId="0" applyNumberFormat="1" applyFont="1" applyFill="1" applyBorder="1" applyAlignment="1">
      <alignment horizontal="center" vertical="center"/>
    </xf>
    <xf numFmtId="4" fontId="39" fillId="12" borderId="201" xfId="0" applyNumberFormat="1" applyFont="1" applyFill="1" applyBorder="1" applyAlignment="1">
      <alignment horizontal="center" vertical="center"/>
    </xf>
    <xf numFmtId="3" fontId="39" fillId="12" borderId="229" xfId="0" applyNumberFormat="1" applyFont="1" applyFill="1" applyBorder="1" applyAlignment="1">
      <alignment horizontal="center" vertical="center"/>
    </xf>
    <xf numFmtId="3" fontId="38" fillId="12" borderId="225" xfId="0" applyNumberFormat="1" applyFont="1" applyFill="1" applyBorder="1" applyAlignment="1">
      <alignment horizontal="center" vertical="center"/>
    </xf>
    <xf numFmtId="4" fontId="39" fillId="12" borderId="333" xfId="0" applyNumberFormat="1" applyFont="1" applyFill="1" applyBorder="1" applyAlignment="1">
      <alignment horizontal="center" vertical="center"/>
    </xf>
    <xf numFmtId="3" fontId="38" fillId="12" borderId="229" xfId="0" applyNumberFormat="1" applyFont="1" applyFill="1" applyBorder="1" applyAlignment="1">
      <alignment horizontal="center" vertical="center"/>
    </xf>
    <xf numFmtId="3" fontId="38" fillId="12" borderId="224" xfId="0" applyNumberFormat="1" applyFont="1" applyFill="1" applyBorder="1" applyAlignment="1">
      <alignment horizontal="center" vertical="center"/>
    </xf>
    <xf numFmtId="3" fontId="39" fillId="5" borderId="222" xfId="0" applyNumberFormat="1" applyFont="1" applyFill="1" applyBorder="1" applyAlignment="1">
      <alignment horizontal="center" vertical="center"/>
    </xf>
    <xf numFmtId="3" fontId="38" fillId="0" borderId="0" xfId="0" applyNumberFormat="1" applyFont="1" applyBorder="1" applyAlignment="1">
      <alignment horizontal="center" vertical="center"/>
    </xf>
    <xf numFmtId="3" fontId="39" fillId="0" borderId="230" xfId="0" applyNumberFormat="1" applyFont="1" applyBorder="1" applyAlignment="1">
      <alignment horizontal="center" vertical="center"/>
    </xf>
    <xf numFmtId="3" fontId="113" fillId="0" borderId="219" xfId="0" applyNumberFormat="1" applyFont="1" applyBorder="1" applyAlignment="1">
      <alignment horizontal="center" vertical="center"/>
    </xf>
    <xf numFmtId="4" fontId="39" fillId="0" borderId="0" xfId="0" applyNumberFormat="1" applyFont="1" applyBorder="1" applyAlignment="1">
      <alignment horizontal="center" vertical="center"/>
    </xf>
    <xf numFmtId="3" fontId="113" fillId="0" borderId="221" xfId="0" applyNumberFormat="1" applyFont="1" applyBorder="1" applyAlignment="1">
      <alignment horizontal="center" vertical="center"/>
    </xf>
    <xf numFmtId="4" fontId="39" fillId="0" borderId="119" xfId="0" applyNumberFormat="1" applyFont="1" applyBorder="1" applyAlignment="1">
      <alignment horizontal="center" vertical="center"/>
    </xf>
    <xf numFmtId="3" fontId="39" fillId="0" borderId="282" xfId="0" applyNumberFormat="1" applyFont="1" applyBorder="1" applyAlignment="1">
      <alignment horizontal="center" vertical="center"/>
    </xf>
    <xf numFmtId="3" fontId="113" fillId="0" borderId="21" xfId="0" applyNumberFormat="1" applyFont="1" applyFill="1" applyBorder="1" applyAlignment="1">
      <alignment horizontal="center" vertical="center"/>
    </xf>
    <xf numFmtId="3" fontId="63" fillId="5" borderId="144" xfId="0" applyNumberFormat="1" applyFont="1" applyFill="1" applyBorder="1" applyAlignment="1">
      <alignment horizontal="center" vertical="center"/>
    </xf>
    <xf numFmtId="3" fontId="20" fillId="5" borderId="144" xfId="0" applyNumberFormat="1" applyFont="1" applyFill="1" applyBorder="1" applyAlignment="1">
      <alignment horizontal="center" vertical="center"/>
    </xf>
    <xf numFmtId="3" fontId="63" fillId="5" borderId="99" xfId="0" applyNumberFormat="1" applyFont="1" applyFill="1" applyBorder="1" applyAlignment="1">
      <alignment horizontal="center" vertical="center"/>
    </xf>
    <xf numFmtId="3" fontId="63" fillId="5" borderId="97" xfId="0" applyNumberFormat="1" applyFont="1" applyFill="1" applyBorder="1" applyAlignment="1">
      <alignment horizontal="center" vertical="center"/>
    </xf>
    <xf numFmtId="3" fontId="63" fillId="5" borderId="149" xfId="0" applyNumberFormat="1" applyFont="1" applyFill="1" applyBorder="1" applyAlignment="1">
      <alignment horizontal="center" vertical="center"/>
    </xf>
    <xf numFmtId="3" fontId="63" fillId="5" borderId="144" xfId="1" applyNumberFormat="1" applyFont="1" applyFill="1" applyBorder="1" applyAlignment="1" applyProtection="1">
      <alignment horizontal="center" vertical="center"/>
    </xf>
    <xf numFmtId="3" fontId="20" fillId="5" borderId="144" xfId="1" applyNumberFormat="1" applyFont="1" applyFill="1" applyBorder="1" applyAlignment="1" applyProtection="1">
      <alignment horizontal="center" vertical="center"/>
    </xf>
    <xf numFmtId="3" fontId="63" fillId="5" borderId="97" xfId="1" applyNumberFormat="1" applyFont="1" applyFill="1" applyBorder="1" applyAlignment="1" applyProtection="1">
      <alignment horizontal="center" vertical="center"/>
    </xf>
    <xf numFmtId="3" fontId="63" fillId="5" borderId="149" xfId="1" applyNumberFormat="1" applyFont="1" applyFill="1" applyBorder="1" applyAlignment="1" applyProtection="1">
      <alignment horizontal="center" vertical="center"/>
    </xf>
    <xf numFmtId="3" fontId="102" fillId="5" borderId="144" xfId="0" applyNumberFormat="1" applyFont="1" applyFill="1" applyBorder="1" applyAlignment="1">
      <alignment horizontal="center" vertical="center"/>
    </xf>
    <xf numFmtId="3" fontId="20" fillId="5" borderId="99" xfId="0" applyNumberFormat="1" applyFont="1" applyFill="1" applyBorder="1" applyAlignment="1">
      <alignment horizontal="center" vertical="center"/>
    </xf>
    <xf numFmtId="3" fontId="39" fillId="0" borderId="253" xfId="0" applyNumberFormat="1" applyFont="1" applyFill="1" applyBorder="1" applyAlignment="1">
      <alignment horizontal="center" vertical="center"/>
    </xf>
    <xf numFmtId="3" fontId="7" fillId="0" borderId="116" xfId="0" applyNumberFormat="1" applyFont="1" applyFill="1" applyBorder="1" applyAlignment="1">
      <alignment horizontal="center" vertical="center"/>
    </xf>
    <xf numFmtId="3" fontId="7" fillId="1" borderId="144" xfId="0" applyNumberFormat="1" applyFont="1" applyFill="1" applyBorder="1" applyAlignment="1">
      <alignment horizontal="center" vertical="center"/>
    </xf>
    <xf numFmtId="3" fontId="7" fillId="0" borderId="90" xfId="0" applyNumberFormat="1" applyFont="1" applyFill="1" applyBorder="1" applyAlignment="1">
      <alignment horizontal="center" vertical="center"/>
    </xf>
    <xf numFmtId="3" fontId="7" fillId="0" borderId="143" xfId="0" applyNumberFormat="1" applyFont="1" applyFill="1" applyBorder="1" applyAlignment="1">
      <alignment horizontal="center" vertical="center"/>
    </xf>
    <xf numFmtId="4" fontId="39" fillId="8" borderId="113" xfId="0" applyNumberFormat="1" applyFont="1" applyFill="1" applyBorder="1" applyAlignment="1">
      <alignment horizontal="center" vertical="center"/>
    </xf>
    <xf numFmtId="4" fontId="39" fillId="14" borderId="0" xfId="0" applyNumberFormat="1" applyFont="1" applyFill="1" applyBorder="1" applyAlignment="1">
      <alignment horizontal="center" vertical="center"/>
    </xf>
    <xf numFmtId="4" fontId="39" fillId="14" borderId="39" xfId="0" applyNumberFormat="1" applyFont="1" applyFill="1" applyBorder="1" applyAlignment="1">
      <alignment horizontal="center" vertical="center"/>
    </xf>
    <xf numFmtId="172" fontId="49" fillId="0" borderId="36" xfId="0" applyNumberFormat="1" applyFont="1" applyFill="1" applyBorder="1" applyAlignment="1">
      <alignment horizontal="center" vertical="center"/>
    </xf>
    <xf numFmtId="4" fontId="39" fillId="14" borderId="235" xfId="0" applyNumberFormat="1" applyFont="1" applyFill="1" applyBorder="1" applyAlignment="1">
      <alignment horizontal="center" vertical="center"/>
    </xf>
    <xf numFmtId="0" fontId="7" fillId="0" borderId="409" xfId="0" applyFont="1" applyFill="1" applyBorder="1" applyAlignment="1">
      <alignment horizontal="left" vertical="center" indent="1"/>
    </xf>
    <xf numFmtId="0" fontId="6" fillId="0" borderId="112" xfId="0" applyFont="1" applyBorder="1" applyAlignment="1">
      <alignment horizontal="right" vertical="center" indent="1"/>
    </xf>
    <xf numFmtId="3" fontId="38" fillId="12" borderId="225" xfId="0" applyNumberFormat="1" applyFont="1" applyFill="1" applyBorder="1" applyAlignment="1">
      <alignment horizontal="right" vertical="center" indent="1"/>
    </xf>
    <xf numFmtId="3" fontId="38" fillId="11" borderId="225" xfId="0" applyNumberFormat="1" applyFont="1" applyFill="1" applyBorder="1" applyAlignment="1">
      <alignment horizontal="right" vertical="center" indent="1"/>
    </xf>
    <xf numFmtId="0" fontId="47" fillId="0" borderId="43" xfId="0" applyNumberFormat="1" applyFont="1" applyBorder="1" applyAlignment="1">
      <alignment horizontal="center" vertical="center" wrapText="1"/>
    </xf>
    <xf numFmtId="172" fontId="49" fillId="11" borderId="229" xfId="0" applyNumberFormat="1" applyFont="1" applyFill="1" applyBorder="1" applyAlignment="1">
      <alignment horizontal="center" vertical="center"/>
    </xf>
    <xf numFmtId="172" fontId="49" fillId="12" borderId="341" xfId="0" applyNumberFormat="1" applyFont="1" applyFill="1" applyBorder="1" applyAlignment="1">
      <alignment horizontal="center" vertical="center"/>
    </xf>
    <xf numFmtId="172" fontId="49" fillId="12" borderId="227" xfId="0" applyNumberFormat="1" applyFont="1" applyFill="1" applyBorder="1" applyAlignment="1">
      <alignment horizontal="center" vertical="center"/>
    </xf>
    <xf numFmtId="172" fontId="49" fillId="11" borderId="267" xfId="0" applyNumberFormat="1" applyFont="1" applyFill="1" applyBorder="1" applyAlignment="1">
      <alignment horizontal="center" vertical="center"/>
    </xf>
    <xf numFmtId="172" fontId="49" fillId="11" borderId="412" xfId="0" applyNumberFormat="1" applyFont="1" applyFill="1" applyBorder="1" applyAlignment="1">
      <alignment horizontal="center" vertical="center"/>
    </xf>
    <xf numFmtId="172" fontId="49" fillId="12" borderId="334" xfId="0" applyNumberFormat="1" applyFont="1" applyFill="1" applyBorder="1" applyAlignment="1">
      <alignment horizontal="center" vertical="center"/>
    </xf>
    <xf numFmtId="172" fontId="49" fillId="8" borderId="235" xfId="0" applyNumberFormat="1" applyFont="1" applyFill="1" applyBorder="1" applyAlignment="1">
      <alignment horizontal="center" vertical="center"/>
    </xf>
    <xf numFmtId="3" fontId="7" fillId="1" borderId="121" xfId="0" applyNumberFormat="1" applyFont="1" applyFill="1" applyBorder="1" applyAlignment="1">
      <alignment horizontal="center" vertical="center"/>
    </xf>
    <xf numFmtId="3" fontId="7" fillId="1" borderId="116" xfId="0" applyNumberFormat="1" applyFont="1" applyFill="1" applyBorder="1" applyAlignment="1">
      <alignment horizontal="center" vertical="center"/>
    </xf>
    <xf numFmtId="3" fontId="7" fillId="1" borderId="90" xfId="0" applyNumberFormat="1" applyFont="1" applyFill="1" applyBorder="1" applyAlignment="1">
      <alignment horizontal="center" vertical="center"/>
    </xf>
    <xf numFmtId="3" fontId="7" fillId="8" borderId="413" xfId="0" applyNumberFormat="1" applyFont="1" applyFill="1" applyBorder="1" applyAlignment="1">
      <alignment horizontal="center" vertical="center"/>
    </xf>
    <xf numFmtId="0" fontId="4" fillId="0" borderId="36" xfId="0" applyFont="1" applyFill="1" applyBorder="1" applyAlignment="1">
      <alignment vertical="center" wrapText="1"/>
    </xf>
    <xf numFmtId="0" fontId="4" fillId="0" borderId="0" xfId="0" applyFont="1" applyAlignment="1">
      <alignment vertical="center" wrapText="1"/>
    </xf>
    <xf numFmtId="3" fontId="102" fillId="0" borderId="360" xfId="1" applyNumberFormat="1" applyFont="1" applyFill="1" applyBorder="1" applyAlignment="1" applyProtection="1">
      <alignment horizontal="center" vertical="center"/>
    </xf>
    <xf numFmtId="3" fontId="5" fillId="0" borderId="150" xfId="1" applyNumberFormat="1" applyFont="1" applyFill="1" applyBorder="1" applyAlignment="1" applyProtection="1">
      <alignment horizontal="center" vertical="center"/>
    </xf>
    <xf numFmtId="165" fontId="47" fillId="0" borderId="291" xfId="1" applyNumberFormat="1" applyFont="1" applyFill="1" applyBorder="1" applyAlignment="1" applyProtection="1">
      <alignment horizontal="center" vertical="center"/>
    </xf>
    <xf numFmtId="3" fontId="102" fillId="0" borderId="149" xfId="1" applyNumberFormat="1" applyFont="1" applyFill="1" applyBorder="1" applyAlignment="1" applyProtection="1">
      <alignment horizontal="center" vertical="center"/>
    </xf>
    <xf numFmtId="165" fontId="7" fillId="0" borderId="25" xfId="0" applyNumberFormat="1" applyFont="1" applyBorder="1" applyAlignment="1">
      <alignment horizontal="center" vertical="center"/>
    </xf>
    <xf numFmtId="9" fontId="7" fillId="0" borderId="25" xfId="2" applyFont="1" applyFill="1" applyBorder="1" applyAlignment="1">
      <alignment horizontal="center" vertical="center"/>
    </xf>
    <xf numFmtId="9" fontId="7" fillId="0" borderId="25" xfId="0" applyNumberFormat="1" applyFont="1" applyBorder="1" applyAlignment="1">
      <alignment horizontal="center" vertical="center"/>
    </xf>
    <xf numFmtId="165" fontId="39" fillId="0" borderId="414" xfId="0" applyNumberFormat="1" applyFont="1" applyBorder="1" applyAlignment="1">
      <alignment horizontal="center" vertical="center" wrapText="1"/>
    </xf>
    <xf numFmtId="9" fontId="7" fillId="0" borderId="25" xfId="2" applyFont="1" applyBorder="1" applyAlignment="1">
      <alignment horizontal="center" vertical="center"/>
    </xf>
    <xf numFmtId="165" fontId="7" fillId="0" borderId="414" xfId="0" applyNumberFormat="1" applyFont="1" applyBorder="1" applyAlignment="1">
      <alignment horizontal="center" vertical="center" wrapText="1"/>
    </xf>
    <xf numFmtId="165" fontId="7" fillId="0" borderId="25" xfId="0" applyNumberFormat="1" applyFont="1" applyBorder="1" applyAlignment="1">
      <alignment vertical="center"/>
    </xf>
    <xf numFmtId="172" fontId="7" fillId="0" borderId="25" xfId="0" applyNumberFormat="1" applyFont="1" applyBorder="1" applyAlignment="1">
      <alignment horizontal="center" vertical="center"/>
    </xf>
    <xf numFmtId="165" fontId="7" fillId="0" borderId="31" xfId="0" applyNumberFormat="1" applyFont="1" applyBorder="1" applyAlignment="1">
      <alignment vertical="center"/>
    </xf>
    <xf numFmtId="172" fontId="7" fillId="0" borderId="31" xfId="0" applyNumberFormat="1" applyFont="1" applyBorder="1" applyAlignment="1">
      <alignment horizontal="center" vertical="center"/>
    </xf>
    <xf numFmtId="0" fontId="0" fillId="0" borderId="0" xfId="0" applyAlignment="1">
      <alignment vertical="center"/>
    </xf>
    <xf numFmtId="0" fontId="114" fillId="0" borderId="0" xfId="0" applyFont="1" applyBorder="1" applyAlignment="1">
      <alignment horizontal="left" vertical="center" wrapText="1"/>
    </xf>
    <xf numFmtId="0" fontId="108" fillId="0" borderId="0" xfId="0" applyFont="1" applyFill="1" applyBorder="1" applyAlignment="1">
      <alignment vertical="center"/>
    </xf>
    <xf numFmtId="9" fontId="12" fillId="0" borderId="415" xfId="0" applyNumberFormat="1" applyFont="1" applyFill="1" applyBorder="1" applyAlignment="1">
      <alignment horizontal="center" vertical="center"/>
    </xf>
    <xf numFmtId="165" fontId="12" fillId="0" borderId="30" xfId="0" applyNumberFormat="1" applyFont="1" applyBorder="1" applyAlignment="1">
      <alignment horizontal="center" vertical="center"/>
    </xf>
    <xf numFmtId="3" fontId="12" fillId="0" borderId="30" xfId="0" applyNumberFormat="1" applyFont="1" applyBorder="1" applyAlignment="1">
      <alignment horizontal="center" vertical="center"/>
    </xf>
    <xf numFmtId="165" fontId="12" fillId="0" borderId="29" xfId="0" applyNumberFormat="1" applyFont="1" applyBorder="1" applyAlignment="1">
      <alignment horizontal="center" vertical="center"/>
    </xf>
    <xf numFmtId="9" fontId="12" fillId="0" borderId="416" xfId="0" applyNumberFormat="1" applyFont="1" applyBorder="1" applyAlignment="1">
      <alignment horizontal="center" vertical="center"/>
    </xf>
    <xf numFmtId="178" fontId="12" fillId="0" borderId="417" xfId="0" applyNumberFormat="1" applyFont="1" applyBorder="1" applyAlignment="1">
      <alignment horizontal="center" vertical="center"/>
    </xf>
    <xf numFmtId="178" fontId="12" fillId="0" borderId="208" xfId="0" applyNumberFormat="1" applyFont="1" applyBorder="1" applyAlignment="1">
      <alignment horizontal="center" vertical="center"/>
    </xf>
    <xf numFmtId="165" fontId="12" fillId="0" borderId="31" xfId="0" applyNumberFormat="1" applyFont="1" applyFill="1" applyBorder="1" applyAlignment="1">
      <alignment horizontal="center" vertical="center"/>
    </xf>
    <xf numFmtId="3" fontId="12" fillId="0" borderId="31" xfId="0" applyNumberFormat="1" applyFont="1" applyFill="1" applyBorder="1" applyAlignment="1">
      <alignment horizontal="center" vertical="center"/>
    </xf>
    <xf numFmtId="165" fontId="12" fillId="0" borderId="42" xfId="0" applyNumberFormat="1" applyFont="1" applyBorder="1" applyAlignment="1">
      <alignment horizontal="center" vertical="center"/>
    </xf>
    <xf numFmtId="178" fontId="12" fillId="0" borderId="31" xfId="0" applyNumberFormat="1" applyFont="1" applyBorder="1" applyAlignment="1">
      <alignment horizontal="center" vertical="center"/>
    </xf>
    <xf numFmtId="9" fontId="12" fillId="0" borderId="416" xfId="0" applyNumberFormat="1" applyFont="1" applyFill="1" applyBorder="1" applyAlignment="1">
      <alignment horizontal="center" vertical="center"/>
    </xf>
    <xf numFmtId="0" fontId="0" fillId="0" borderId="0" xfId="0" applyAlignment="1">
      <alignment vertical="center"/>
    </xf>
    <xf numFmtId="0" fontId="5" fillId="0" borderId="23" xfId="0" applyFont="1" applyFill="1" applyBorder="1" applyAlignment="1">
      <alignment horizontal="right" vertical="center"/>
    </xf>
    <xf numFmtId="0" fontId="17" fillId="0" borderId="21" xfId="0" applyFont="1" applyFill="1" applyBorder="1" applyAlignment="1" applyProtection="1">
      <alignment horizontal="center" vertical="center"/>
    </xf>
    <xf numFmtId="3" fontId="104" fillId="14" borderId="119" xfId="0" applyNumberFormat="1" applyFont="1" applyFill="1" applyBorder="1" applyAlignment="1">
      <alignment horizontal="center" vertical="center"/>
    </xf>
    <xf numFmtId="3" fontId="104" fillId="14" borderId="75" xfId="0" applyNumberFormat="1" applyFont="1" applyFill="1" applyBorder="1" applyAlignment="1">
      <alignment horizontal="center" vertical="center"/>
    </xf>
    <xf numFmtId="0" fontId="16" fillId="20" borderId="84" xfId="0" applyNumberFormat="1" applyFont="1" applyFill="1" applyBorder="1" applyAlignment="1">
      <alignment horizontal="center" vertical="center" wrapText="1"/>
    </xf>
    <xf numFmtId="0" fontId="16" fillId="21" borderId="84" xfId="0" applyFont="1" applyFill="1" applyBorder="1" applyAlignment="1">
      <alignment horizontal="center" vertical="center" wrapText="1"/>
    </xf>
    <xf numFmtId="165" fontId="94" fillId="20" borderId="243" xfId="0" applyNumberFormat="1" applyFont="1" applyFill="1" applyBorder="1" applyAlignment="1">
      <alignment horizontal="center" vertical="center"/>
    </xf>
    <xf numFmtId="165" fontId="94" fillId="20" borderId="290" xfId="0" applyNumberFormat="1" applyFont="1" applyFill="1" applyBorder="1" applyAlignment="1">
      <alignment horizontal="center" vertical="center"/>
    </xf>
    <xf numFmtId="165" fontId="17" fillId="21" borderId="146" xfId="0" applyNumberFormat="1" applyFont="1" applyFill="1" applyBorder="1" applyAlignment="1">
      <alignment horizontal="center" vertical="center"/>
    </xf>
    <xf numFmtId="165" fontId="17" fillId="21" borderId="321" xfId="0" applyNumberFormat="1" applyFont="1" applyFill="1" applyBorder="1" applyAlignment="1">
      <alignment horizontal="center" vertical="center"/>
    </xf>
    <xf numFmtId="165" fontId="17" fillId="21" borderId="320" xfId="0" applyNumberFormat="1" applyFont="1" applyFill="1" applyBorder="1" applyAlignment="1">
      <alignment horizontal="center" vertical="center"/>
    </xf>
    <xf numFmtId="165" fontId="16" fillId="19" borderId="311" xfId="0" applyNumberFormat="1" applyFont="1" applyFill="1" applyBorder="1" applyAlignment="1">
      <alignment horizontal="center" vertical="center" wrapText="1"/>
    </xf>
    <xf numFmtId="165" fontId="16" fillId="19" borderId="44" xfId="0" applyNumberFormat="1" applyFont="1" applyFill="1" applyBorder="1" applyAlignment="1">
      <alignment horizontal="center" vertical="center" wrapText="1"/>
    </xf>
    <xf numFmtId="165" fontId="16" fillId="19" borderId="19" xfId="0" applyNumberFormat="1" applyFont="1" applyFill="1" applyBorder="1" applyAlignment="1">
      <alignment horizontal="center" vertical="center" wrapText="1"/>
    </xf>
    <xf numFmtId="165" fontId="17" fillId="3" borderId="316" xfId="0" applyNumberFormat="1" applyFont="1" applyFill="1" applyBorder="1" applyAlignment="1">
      <alignment horizontal="center" vertical="center"/>
    </xf>
    <xf numFmtId="165" fontId="17" fillId="3" borderId="317" xfId="0" applyNumberFormat="1" applyFont="1" applyFill="1" applyBorder="1" applyAlignment="1">
      <alignment horizontal="center" vertical="center"/>
    </xf>
    <xf numFmtId="165" fontId="17" fillId="3" borderId="138" xfId="0" applyNumberFormat="1" applyFont="1" applyFill="1" applyBorder="1" applyAlignment="1">
      <alignment horizontal="center" vertical="center"/>
    </xf>
    <xf numFmtId="165" fontId="38" fillId="21" borderId="230" xfId="0" applyNumberFormat="1" applyFont="1" applyFill="1" applyBorder="1" applyAlignment="1">
      <alignment horizontal="center" vertical="center"/>
    </xf>
    <xf numFmtId="165" fontId="38" fillId="21" borderId="283" xfId="0" applyNumberFormat="1" applyFont="1" applyFill="1" applyBorder="1" applyAlignment="1">
      <alignment horizontal="center" vertical="center"/>
    </xf>
    <xf numFmtId="165" fontId="38" fillId="21" borderId="285" xfId="0" applyNumberFormat="1" applyFont="1" applyFill="1" applyBorder="1" applyAlignment="1">
      <alignment horizontal="center" vertical="center"/>
    </xf>
    <xf numFmtId="165" fontId="38" fillId="19" borderId="230" xfId="0" applyNumberFormat="1" applyFont="1" applyFill="1" applyBorder="1" applyAlignment="1">
      <alignment horizontal="center" vertical="center" wrapText="1"/>
    </xf>
    <xf numFmtId="165" fontId="38" fillId="19" borderId="283" xfId="0" applyNumberFormat="1" applyFont="1" applyFill="1" applyBorder="1" applyAlignment="1">
      <alignment horizontal="center" vertical="center" wrapText="1"/>
    </xf>
    <xf numFmtId="165" fontId="38" fillId="19" borderId="75" xfId="0" applyNumberFormat="1" applyFont="1" applyFill="1" applyBorder="1" applyAlignment="1">
      <alignment horizontal="center" vertical="center" wrapText="1"/>
    </xf>
    <xf numFmtId="165" fontId="38" fillId="19" borderId="299" xfId="0" applyNumberFormat="1" applyFont="1" applyFill="1" applyBorder="1" applyAlignment="1">
      <alignment horizontal="center" vertical="center" wrapText="1"/>
    </xf>
    <xf numFmtId="165" fontId="38" fillId="3" borderId="168" xfId="0" applyNumberFormat="1" applyFont="1" applyFill="1" applyBorder="1" applyAlignment="1">
      <alignment horizontal="center" vertical="center"/>
    </xf>
    <xf numFmtId="165" fontId="38" fillId="3" borderId="117" xfId="0" applyNumberFormat="1" applyFont="1" applyFill="1" applyBorder="1" applyAlignment="1">
      <alignment horizontal="center" vertical="center"/>
    </xf>
    <xf numFmtId="165" fontId="38" fillId="3" borderId="219" xfId="0" applyNumberFormat="1" applyFont="1" applyFill="1" applyBorder="1" applyAlignment="1">
      <alignment horizontal="center" vertical="center"/>
    </xf>
    <xf numFmtId="3" fontId="38" fillId="20" borderId="224" xfId="0" applyNumberFormat="1" applyFont="1" applyFill="1" applyBorder="1" applyAlignment="1">
      <alignment horizontal="right" vertical="center" indent="1"/>
    </xf>
    <xf numFmtId="4" fontId="39" fillId="20" borderId="203" xfId="0" applyNumberFormat="1" applyFont="1" applyFill="1" applyBorder="1" applyAlignment="1">
      <alignment horizontal="center" vertical="center"/>
    </xf>
    <xf numFmtId="3" fontId="39" fillId="20" borderId="227" xfId="0" applyNumberFormat="1" applyFont="1" applyFill="1" applyBorder="1" applyAlignment="1">
      <alignment horizontal="center" vertical="center"/>
    </xf>
    <xf numFmtId="3" fontId="38" fillId="20" borderId="224" xfId="0" applyNumberFormat="1" applyFont="1" applyFill="1" applyBorder="1" applyAlignment="1">
      <alignment horizontal="center" vertical="center"/>
    </xf>
    <xf numFmtId="4" fontId="39" fillId="20" borderId="334" xfId="0" applyNumberFormat="1" applyFont="1" applyFill="1" applyBorder="1" applyAlignment="1">
      <alignment horizontal="center" vertical="center"/>
    </xf>
    <xf numFmtId="3" fontId="38" fillId="20" borderId="227" xfId="0" applyNumberFormat="1" applyFont="1" applyFill="1" applyBorder="1" applyAlignment="1">
      <alignment horizontal="center" vertical="center"/>
    </xf>
    <xf numFmtId="4" fontId="39" fillId="20" borderId="333" xfId="0" applyNumberFormat="1" applyFont="1" applyFill="1" applyBorder="1" applyAlignment="1">
      <alignment horizontal="center" vertical="center"/>
    </xf>
    <xf numFmtId="3" fontId="39" fillId="20" borderId="281" xfId="0" applyNumberFormat="1" applyFont="1" applyFill="1" applyBorder="1" applyAlignment="1">
      <alignment horizontal="center" vertical="center"/>
    </xf>
    <xf numFmtId="3" fontId="38" fillId="20" borderId="43" xfId="0" applyNumberFormat="1" applyFont="1" applyFill="1" applyBorder="1" applyAlignment="1">
      <alignment horizontal="center" vertical="center"/>
    </xf>
    <xf numFmtId="172" fontId="49" fillId="20" borderId="75" xfId="0" applyNumberFormat="1" applyFont="1" applyFill="1" applyBorder="1" applyAlignment="1">
      <alignment horizontal="center" vertical="center"/>
    </xf>
    <xf numFmtId="172" fontId="49" fillId="20" borderId="296" xfId="0" applyNumberFormat="1" applyFont="1" applyFill="1" applyBorder="1" applyAlignment="1">
      <alignment horizontal="center" vertical="center"/>
    </xf>
    <xf numFmtId="172" fontId="49" fillId="20" borderId="279" xfId="0" applyNumberFormat="1" applyFont="1" applyFill="1" applyBorder="1" applyAlignment="1">
      <alignment horizontal="center" vertical="center"/>
    </xf>
    <xf numFmtId="172" fontId="49" fillId="20" borderId="219" xfId="0" applyNumberFormat="1" applyFont="1" applyFill="1" applyBorder="1" applyAlignment="1">
      <alignment horizontal="center" vertical="center"/>
    </xf>
    <xf numFmtId="172" fontId="49" fillId="20" borderId="330" xfId="0" applyNumberFormat="1" applyFont="1" applyFill="1" applyBorder="1" applyAlignment="1">
      <alignment horizontal="center" vertical="center"/>
    </xf>
    <xf numFmtId="172" fontId="49" fillId="20" borderId="227" xfId="0" applyNumberFormat="1" applyFont="1" applyFill="1" applyBorder="1" applyAlignment="1">
      <alignment horizontal="center" vertical="center"/>
    </xf>
    <xf numFmtId="172" fontId="49" fillId="20" borderId="43" xfId="0" applyNumberFormat="1" applyFont="1" applyFill="1" applyBorder="1" applyAlignment="1">
      <alignment horizontal="center" vertical="center"/>
    </xf>
    <xf numFmtId="3" fontId="38" fillId="21" borderId="225" xfId="0" applyNumberFormat="1" applyFont="1" applyFill="1" applyBorder="1" applyAlignment="1">
      <alignment horizontal="right" vertical="center" indent="1"/>
    </xf>
    <xf numFmtId="4" fontId="39" fillId="21" borderId="75" xfId="0" applyNumberFormat="1" applyFont="1" applyFill="1" applyBorder="1" applyAlignment="1">
      <alignment horizontal="center" vertical="center"/>
    </xf>
    <xf numFmtId="3" fontId="39" fillId="21" borderId="229" xfId="0" applyNumberFormat="1" applyFont="1" applyFill="1" applyBorder="1" applyAlignment="1">
      <alignment horizontal="center" vertical="center"/>
    </xf>
    <xf numFmtId="3" fontId="38" fillId="21" borderId="225" xfId="0" applyNumberFormat="1" applyFont="1" applyFill="1" applyBorder="1" applyAlignment="1">
      <alignment horizontal="center" vertical="center"/>
    </xf>
    <xf numFmtId="4" fontId="39" fillId="21" borderId="333" xfId="0" applyNumberFormat="1" applyFont="1" applyFill="1" applyBorder="1" applyAlignment="1">
      <alignment horizontal="center" vertical="center"/>
    </xf>
    <xf numFmtId="3" fontId="38" fillId="21" borderId="229" xfId="0" applyNumberFormat="1" applyFont="1" applyFill="1" applyBorder="1" applyAlignment="1">
      <alignment horizontal="center" vertical="center"/>
    </xf>
    <xf numFmtId="4" fontId="39" fillId="21" borderId="334" xfId="0" applyNumberFormat="1" applyFont="1" applyFill="1" applyBorder="1" applyAlignment="1">
      <alignment horizontal="center" vertical="center"/>
    </xf>
    <xf numFmtId="3" fontId="38" fillId="21" borderId="43" xfId="0" applyNumberFormat="1" applyFont="1" applyFill="1" applyBorder="1" applyAlignment="1">
      <alignment horizontal="center" vertical="center"/>
    </xf>
    <xf numFmtId="172" fontId="49" fillId="21" borderId="411" xfId="0" applyNumberFormat="1" applyFont="1" applyFill="1" applyBorder="1" applyAlignment="1">
      <alignment horizontal="center" vertical="center"/>
    </xf>
    <xf numFmtId="172" fontId="49" fillId="21" borderId="367" xfId="0" applyNumberFormat="1" applyFont="1" applyFill="1" applyBorder="1" applyAlignment="1">
      <alignment horizontal="center" vertical="center"/>
    </xf>
    <xf numFmtId="172" fontId="49" fillId="21" borderId="410" xfId="0" applyNumberFormat="1" applyFont="1" applyFill="1" applyBorder="1" applyAlignment="1">
      <alignment horizontal="center" vertical="center"/>
    </xf>
    <xf numFmtId="172" fontId="49" fillId="21" borderId="241" xfId="0" applyNumberFormat="1" applyFont="1" applyFill="1" applyBorder="1" applyAlignment="1">
      <alignment horizontal="center" vertical="center"/>
    </xf>
    <xf numFmtId="172" fontId="49" fillId="21" borderId="242" xfId="0" applyNumberFormat="1" applyFont="1" applyFill="1" applyBorder="1" applyAlignment="1">
      <alignment horizontal="center" vertical="center"/>
    </xf>
    <xf numFmtId="3" fontId="38" fillId="19" borderId="225" xfId="0" applyNumberFormat="1" applyFont="1" applyFill="1" applyBorder="1" applyAlignment="1">
      <alignment horizontal="right" vertical="center" indent="1"/>
    </xf>
    <xf numFmtId="4" fontId="39" fillId="19" borderId="201" xfId="0" applyNumberFormat="1" applyFont="1" applyFill="1" applyBorder="1" applyAlignment="1">
      <alignment horizontal="center" vertical="center"/>
    </xf>
    <xf numFmtId="3" fontId="39" fillId="19" borderId="229" xfId="0" applyNumberFormat="1" applyFont="1" applyFill="1" applyBorder="1" applyAlignment="1">
      <alignment horizontal="center" vertical="center"/>
    </xf>
    <xf numFmtId="3" fontId="38" fillId="19" borderId="225" xfId="0" applyNumberFormat="1" applyFont="1" applyFill="1" applyBorder="1" applyAlignment="1">
      <alignment horizontal="center" vertical="center"/>
    </xf>
    <xf numFmtId="4" fontId="39" fillId="19" borderId="333" xfId="0" applyNumberFormat="1" applyFont="1" applyFill="1" applyBorder="1" applyAlignment="1">
      <alignment horizontal="center" vertical="center"/>
    </xf>
    <xf numFmtId="3" fontId="39" fillId="19" borderId="281" xfId="0" applyNumberFormat="1" applyFont="1" applyFill="1" applyBorder="1" applyAlignment="1">
      <alignment horizontal="center" vertical="center"/>
    </xf>
    <xf numFmtId="3" fontId="38" fillId="19" borderId="229" xfId="0" applyNumberFormat="1" applyFont="1" applyFill="1" applyBorder="1" applyAlignment="1">
      <alignment horizontal="center" vertical="center"/>
    </xf>
    <xf numFmtId="3" fontId="38" fillId="19" borderId="224" xfId="0" applyNumberFormat="1" applyFont="1" applyFill="1" applyBorder="1" applyAlignment="1">
      <alignment horizontal="center" vertical="center"/>
    </xf>
    <xf numFmtId="172" fontId="49" fillId="19" borderId="340" xfId="0" applyNumberFormat="1" applyFont="1" applyFill="1" applyBorder="1" applyAlignment="1">
      <alignment horizontal="center" vertical="center"/>
    </xf>
    <xf numFmtId="172" fontId="49" fillId="19" borderId="334" xfId="0" applyNumberFormat="1" applyFont="1" applyFill="1" applyBorder="1" applyAlignment="1">
      <alignment horizontal="center" vertical="center"/>
    </xf>
    <xf numFmtId="172" fontId="49" fillId="19" borderId="339" xfId="0" applyNumberFormat="1" applyFont="1" applyFill="1" applyBorder="1" applyAlignment="1">
      <alignment horizontal="center" vertical="center"/>
    </xf>
    <xf numFmtId="172" fontId="49" fillId="19" borderId="19" xfId="0" applyNumberFormat="1" applyFont="1" applyFill="1" applyBorder="1" applyAlignment="1">
      <alignment horizontal="center" vertical="center"/>
    </xf>
    <xf numFmtId="172" fontId="49" fillId="19" borderId="224" xfId="0" applyNumberFormat="1" applyFont="1" applyFill="1" applyBorder="1" applyAlignment="1">
      <alignment horizontal="center" vertical="center"/>
    </xf>
    <xf numFmtId="3" fontId="38" fillId="18" borderId="225" xfId="0" applyNumberFormat="1" applyFont="1" applyFill="1" applyBorder="1" applyAlignment="1">
      <alignment horizontal="right" vertical="center" indent="1"/>
    </xf>
    <xf numFmtId="4" fontId="39" fillId="18" borderId="201" xfId="0" applyNumberFormat="1" applyFont="1" applyFill="1" applyBorder="1" applyAlignment="1">
      <alignment horizontal="center" vertical="center"/>
    </xf>
    <xf numFmtId="3" fontId="39" fillId="18" borderId="229" xfId="0" applyNumberFormat="1" applyFont="1" applyFill="1" applyBorder="1" applyAlignment="1">
      <alignment horizontal="center" vertical="center"/>
    </xf>
    <xf numFmtId="3" fontId="38" fillId="18" borderId="225" xfId="0" applyNumberFormat="1" applyFont="1" applyFill="1" applyBorder="1" applyAlignment="1">
      <alignment horizontal="center" vertical="center"/>
    </xf>
    <xf numFmtId="4" fontId="39" fillId="18" borderId="333" xfId="0" applyNumberFormat="1" applyFont="1" applyFill="1" applyBorder="1" applyAlignment="1">
      <alignment horizontal="center" vertical="center"/>
    </xf>
    <xf numFmtId="3" fontId="38" fillId="18" borderId="229" xfId="0" applyNumberFormat="1" applyFont="1" applyFill="1" applyBorder="1" applyAlignment="1">
      <alignment horizontal="center" vertical="center"/>
    </xf>
    <xf numFmtId="3" fontId="38" fillId="18" borderId="224" xfId="0" applyNumberFormat="1" applyFont="1" applyFill="1" applyBorder="1" applyAlignment="1">
      <alignment horizontal="center" vertical="center"/>
    </xf>
    <xf numFmtId="172" fontId="49" fillId="18" borderId="334" xfId="0" applyNumberFormat="1" applyFont="1" applyFill="1" applyBorder="1" applyAlignment="1">
      <alignment horizontal="center" vertical="center"/>
    </xf>
    <xf numFmtId="172" fontId="49" fillId="18" borderId="227" xfId="0" applyNumberFormat="1" applyFont="1" applyFill="1" applyBorder="1" applyAlignment="1">
      <alignment horizontal="center" vertical="center"/>
    </xf>
    <xf numFmtId="172" fontId="49" fillId="18" borderId="339" xfId="0" applyNumberFormat="1" applyFont="1" applyFill="1" applyBorder="1" applyAlignment="1">
      <alignment horizontal="center" vertical="center"/>
    </xf>
    <xf numFmtId="172" fontId="49" fillId="18" borderId="341" xfId="0" applyNumberFormat="1" applyFont="1" applyFill="1" applyBorder="1" applyAlignment="1">
      <alignment horizontal="center" vertical="center"/>
    </xf>
    <xf numFmtId="0" fontId="6" fillId="3" borderId="112" xfId="0" applyFont="1" applyFill="1" applyBorder="1" applyAlignment="1">
      <alignment horizontal="right" vertical="center" indent="1"/>
    </xf>
    <xf numFmtId="4" fontId="39" fillId="3" borderId="200" xfId="0" applyNumberFormat="1" applyFont="1" applyFill="1" applyBorder="1" applyAlignment="1">
      <alignment horizontal="center" vertical="center"/>
    </xf>
    <xf numFmtId="3" fontId="39" fillId="3" borderId="229" xfId="0" applyNumberFormat="1" applyFont="1" applyFill="1" applyBorder="1" applyAlignment="1">
      <alignment horizontal="center" vertical="center"/>
    </xf>
    <xf numFmtId="3" fontId="38" fillId="3" borderId="225" xfId="0" applyNumberFormat="1" applyFont="1" applyFill="1" applyBorder="1" applyAlignment="1">
      <alignment horizontal="center" vertical="center"/>
    </xf>
    <xf numFmtId="4" fontId="39" fillId="3" borderId="333" xfId="0" applyNumberFormat="1" applyFont="1" applyFill="1" applyBorder="1" applyAlignment="1">
      <alignment horizontal="center" vertical="center"/>
    </xf>
    <xf numFmtId="3" fontId="38" fillId="3" borderId="229" xfId="0" applyNumberFormat="1" applyFont="1" applyFill="1" applyBorder="1" applyAlignment="1">
      <alignment horizontal="center" vertical="center"/>
    </xf>
    <xf numFmtId="4" fontId="39" fillId="3" borderId="335" xfId="0" applyNumberFormat="1" applyFont="1" applyFill="1" applyBorder="1" applyAlignment="1">
      <alignment horizontal="center" vertical="center"/>
    </xf>
    <xf numFmtId="3" fontId="38" fillId="3" borderId="43" xfId="0" applyNumberFormat="1" applyFont="1" applyFill="1" applyBorder="1" applyAlignment="1">
      <alignment horizontal="center" vertical="center"/>
    </xf>
    <xf numFmtId="172" fontId="49" fillId="3" borderId="405" xfId="0" applyNumberFormat="1" applyFont="1" applyFill="1" applyBorder="1" applyAlignment="1">
      <alignment horizontal="center" vertical="center"/>
    </xf>
    <xf numFmtId="172" fontId="49" fillId="3" borderId="75" xfId="0" applyNumberFormat="1" applyFont="1" applyFill="1" applyBorder="1" applyAlignment="1">
      <alignment horizontal="center" vertical="center"/>
    </xf>
    <xf numFmtId="172" fontId="49" fillId="3" borderId="281" xfId="0" applyNumberFormat="1" applyFont="1" applyFill="1" applyBorder="1" applyAlignment="1">
      <alignment horizontal="center" vertical="center"/>
    </xf>
    <xf numFmtId="172" fontId="49" fillId="3" borderId="285" xfId="0" applyNumberFormat="1" applyFont="1" applyFill="1" applyBorder="1" applyAlignment="1">
      <alignment horizontal="center" vertical="center"/>
    </xf>
    <xf numFmtId="172" fontId="49" fillId="3" borderId="296" xfId="0" applyNumberFormat="1" applyFont="1" applyFill="1" applyBorder="1" applyAlignment="1">
      <alignment horizontal="center" vertical="center"/>
    </xf>
    <xf numFmtId="172" fontId="49" fillId="3" borderId="267" xfId="0" applyNumberFormat="1" applyFont="1" applyFill="1" applyBorder="1" applyAlignment="1">
      <alignment horizontal="center" vertical="center"/>
    </xf>
    <xf numFmtId="172" fontId="49" fillId="3" borderId="290" xfId="0" applyNumberFormat="1" applyFont="1" applyFill="1" applyBorder="1" applyAlignment="1">
      <alignment horizontal="center" vertical="center"/>
    </xf>
    <xf numFmtId="0" fontId="16" fillId="11" borderId="84" xfId="0" applyFont="1" applyFill="1" applyBorder="1" applyAlignment="1">
      <alignment horizontal="center" vertical="center" wrapText="1"/>
    </xf>
    <xf numFmtId="0" fontId="17" fillId="19" borderId="84" xfId="0" applyFont="1" applyFill="1" applyBorder="1" applyAlignment="1">
      <alignment horizontal="center" vertical="center" wrapText="1"/>
    </xf>
    <xf numFmtId="165" fontId="7" fillId="0" borderId="0" xfId="0" applyNumberFormat="1" applyFont="1" applyBorder="1" applyAlignment="1">
      <alignment horizontal="center" vertical="center" wrapText="1"/>
    </xf>
    <xf numFmtId="49" fontId="16" fillId="12" borderId="84" xfId="0" applyNumberFormat="1" applyFont="1" applyFill="1" applyBorder="1" applyAlignment="1">
      <alignment horizontal="center" vertical="center"/>
    </xf>
    <xf numFmtId="0" fontId="16" fillId="18" borderId="84" xfId="0" applyFont="1" applyFill="1" applyBorder="1" applyAlignment="1">
      <alignment horizontal="center" vertical="center"/>
    </xf>
    <xf numFmtId="3" fontId="104" fillId="14" borderId="402" xfId="0" applyNumberFormat="1" applyFont="1" applyFill="1" applyBorder="1" applyAlignment="1">
      <alignment horizontal="center" vertical="center"/>
    </xf>
    <xf numFmtId="3" fontId="104" fillId="14" borderId="230" xfId="0" applyNumberFormat="1" applyFont="1" applyFill="1" applyBorder="1" applyAlignment="1">
      <alignment horizontal="center" vertical="center"/>
    </xf>
    <xf numFmtId="3" fontId="104" fillId="14" borderId="297" xfId="0" applyNumberFormat="1" applyFont="1" applyFill="1" applyBorder="1" applyAlignment="1">
      <alignment horizontal="center" vertical="center"/>
    </xf>
    <xf numFmtId="3" fontId="104" fillId="14" borderId="283" xfId="0" applyNumberFormat="1" applyFont="1" applyFill="1" applyBorder="1" applyAlignment="1">
      <alignment horizontal="center" vertical="center"/>
    </xf>
    <xf numFmtId="3" fontId="63" fillId="14" borderId="300" xfId="0" applyNumberFormat="1" applyFont="1" applyFill="1" applyBorder="1" applyAlignment="1">
      <alignment horizontal="center" vertical="center"/>
    </xf>
    <xf numFmtId="3" fontId="7" fillId="8" borderId="300" xfId="0" applyNumberFormat="1" applyFont="1" applyFill="1" applyBorder="1" applyAlignment="1">
      <alignment horizontal="center" vertical="center"/>
    </xf>
    <xf numFmtId="0" fontId="124" fillId="0" borderId="0" xfId="0" applyFont="1" applyAlignment="1">
      <alignment vertical="center"/>
    </xf>
    <xf numFmtId="0" fontId="124" fillId="0" borderId="0" xfId="0" applyFont="1" applyAlignment="1">
      <alignment horizontal="center" vertical="center"/>
    </xf>
    <xf numFmtId="0" fontId="124" fillId="0" borderId="0" xfId="0" applyFont="1" applyBorder="1" applyAlignment="1">
      <alignment horizontal="center" vertical="center"/>
    </xf>
    <xf numFmtId="3" fontId="125" fillId="0" borderId="0" xfId="0" applyNumberFormat="1" applyFont="1" applyFill="1" applyBorder="1" applyAlignment="1">
      <alignment vertical="center" wrapText="1"/>
    </xf>
    <xf numFmtId="0" fontId="126" fillId="0" borderId="235" xfId="0" applyFont="1" applyBorder="1" applyAlignment="1">
      <alignment vertical="center"/>
    </xf>
    <xf numFmtId="3" fontId="125" fillId="0" borderId="235" xfId="0" applyNumberFormat="1" applyFont="1" applyFill="1" applyBorder="1" applyAlignment="1">
      <alignment vertical="center" wrapText="1"/>
    </xf>
    <xf numFmtId="1" fontId="128" fillId="0" borderId="198" xfId="0" applyNumberFormat="1" applyFont="1" applyBorder="1" applyAlignment="1">
      <alignment horizontal="center" vertical="center"/>
    </xf>
    <xf numFmtId="1" fontId="125" fillId="0" borderId="198" xfId="0" applyNumberFormat="1" applyFont="1" applyBorder="1" applyAlignment="1">
      <alignment horizontal="center" vertical="center"/>
    </xf>
    <xf numFmtId="3" fontId="125" fillId="15" borderId="203" xfId="0" applyNumberFormat="1" applyFont="1" applyFill="1" applyBorder="1" applyAlignment="1">
      <alignment horizontal="center" vertical="center"/>
    </xf>
    <xf numFmtId="3" fontId="125" fillId="15" borderId="369" xfId="0" applyNumberFormat="1" applyFont="1" applyFill="1" applyBorder="1" applyAlignment="1">
      <alignment horizontal="center" vertical="center"/>
    </xf>
    <xf numFmtId="9" fontId="128" fillId="0" borderId="328" xfId="0" applyNumberFormat="1" applyFont="1" applyBorder="1" applyAlignment="1">
      <alignment horizontal="center" vertical="center"/>
    </xf>
    <xf numFmtId="172" fontId="125" fillId="0" borderId="328" xfId="0" applyNumberFormat="1" applyFont="1" applyBorder="1" applyAlignment="1">
      <alignment horizontal="center" vertical="center"/>
    </xf>
    <xf numFmtId="172" fontId="125" fillId="0" borderId="315" xfId="0" applyNumberFormat="1" applyFont="1" applyBorder="1" applyAlignment="1">
      <alignment horizontal="center" vertical="center"/>
    </xf>
    <xf numFmtId="9" fontId="128" fillId="0" borderId="313" xfId="0" applyNumberFormat="1" applyFont="1" applyBorder="1" applyAlignment="1">
      <alignment horizontal="center" vertical="center"/>
    </xf>
    <xf numFmtId="172" fontId="125" fillId="0" borderId="329" xfId="0" applyNumberFormat="1" applyFont="1" applyBorder="1" applyAlignment="1">
      <alignment horizontal="center" vertical="center"/>
    </xf>
    <xf numFmtId="3" fontId="128" fillId="0" borderId="368" xfId="0" applyNumberFormat="1" applyFont="1" applyBorder="1" applyAlignment="1">
      <alignment horizontal="center" vertical="center"/>
    </xf>
    <xf numFmtId="3" fontId="125" fillId="0" borderId="368" xfId="0" applyNumberFormat="1" applyFont="1" applyBorder="1" applyAlignment="1">
      <alignment horizontal="center" vertical="center"/>
    </xf>
    <xf numFmtId="3" fontId="125" fillId="15" borderId="194" xfId="0" applyNumberFormat="1" applyFont="1" applyFill="1" applyBorder="1" applyAlignment="1">
      <alignment horizontal="center" vertical="center"/>
    </xf>
    <xf numFmtId="3" fontId="125" fillId="15" borderId="370" xfId="0" applyNumberFormat="1" applyFont="1" applyFill="1" applyBorder="1" applyAlignment="1">
      <alignment horizontal="center" vertical="center"/>
    </xf>
    <xf numFmtId="3" fontId="128" fillId="0" borderId="328" xfId="0" applyNumberFormat="1" applyFont="1" applyBorder="1" applyAlignment="1">
      <alignment horizontal="center" vertical="center"/>
    </xf>
    <xf numFmtId="3" fontId="125" fillId="15" borderId="328" xfId="0" applyNumberFormat="1" applyFont="1" applyFill="1" applyBorder="1" applyAlignment="1">
      <alignment horizontal="center" vertical="center"/>
    </xf>
    <xf numFmtId="3" fontId="128" fillId="0" borderId="315" xfId="0" applyNumberFormat="1" applyFont="1" applyBorder="1" applyAlignment="1">
      <alignment horizontal="center" vertical="center"/>
    </xf>
    <xf numFmtId="3" fontId="128" fillId="0" borderId="313" xfId="0" applyNumberFormat="1" applyFont="1" applyBorder="1" applyAlignment="1">
      <alignment horizontal="center" vertical="center"/>
    </xf>
    <xf numFmtId="3" fontId="125" fillId="15" borderId="329" xfId="0" applyNumberFormat="1" applyFont="1" applyFill="1" applyBorder="1" applyAlignment="1">
      <alignment horizontal="center" vertical="center"/>
    </xf>
    <xf numFmtId="3" fontId="128" fillId="0" borderId="194" xfId="0" applyNumberFormat="1" applyFont="1" applyBorder="1" applyAlignment="1">
      <alignment horizontal="center" vertical="center"/>
    </xf>
    <xf numFmtId="3" fontId="125" fillId="0" borderId="194" xfId="0" applyNumberFormat="1" applyFont="1" applyBorder="1" applyAlignment="1">
      <alignment horizontal="center" vertical="center"/>
    </xf>
    <xf numFmtId="3" fontId="128" fillId="0" borderId="264" xfId="0" applyNumberFormat="1" applyFont="1" applyBorder="1" applyAlignment="1">
      <alignment horizontal="center" vertical="center"/>
    </xf>
    <xf numFmtId="3" fontId="125" fillId="0" borderId="0" xfId="0" applyNumberFormat="1" applyFont="1" applyBorder="1" applyAlignment="1">
      <alignment horizontal="center" vertical="center"/>
    </xf>
    <xf numFmtId="3" fontId="125" fillId="0" borderId="121" xfId="0" applyNumberFormat="1" applyFont="1" applyBorder="1" applyAlignment="1">
      <alignment horizontal="center" vertical="center"/>
    </xf>
    <xf numFmtId="3" fontId="128" fillId="15" borderId="143" xfId="0" applyNumberFormat="1" applyFont="1" applyFill="1" applyBorder="1" applyAlignment="1">
      <alignment horizontal="center" vertical="center"/>
    </xf>
    <xf numFmtId="3" fontId="125" fillId="15" borderId="0" xfId="0" applyNumberFormat="1" applyFont="1" applyFill="1" applyBorder="1" applyAlignment="1">
      <alignment horizontal="center" vertical="center"/>
    </xf>
    <xf numFmtId="3" fontId="128" fillId="15" borderId="34" xfId="0" applyNumberFormat="1" applyFont="1" applyFill="1" applyBorder="1" applyAlignment="1">
      <alignment horizontal="center" vertical="center"/>
    </xf>
    <xf numFmtId="3" fontId="125" fillId="15" borderId="121" xfId="0" applyNumberFormat="1" applyFont="1" applyFill="1" applyBorder="1" applyAlignment="1">
      <alignment horizontal="center" vertical="center"/>
    </xf>
    <xf numFmtId="3" fontId="125" fillId="15" borderId="34" xfId="0" applyNumberFormat="1" applyFont="1" applyFill="1" applyBorder="1" applyAlignment="1">
      <alignment horizontal="center" vertical="center"/>
    </xf>
    <xf numFmtId="3" fontId="128" fillId="0" borderId="143" xfId="0" applyNumberFormat="1" applyFont="1" applyBorder="1" applyAlignment="1">
      <alignment horizontal="center" vertical="center"/>
    </xf>
    <xf numFmtId="3" fontId="128" fillId="0" borderId="34" xfId="0" applyNumberFormat="1" applyFont="1" applyBorder="1" applyAlignment="1">
      <alignment horizontal="center" vertical="center"/>
    </xf>
    <xf numFmtId="3" fontId="129" fillId="0" borderId="143" xfId="0" applyNumberFormat="1" applyFont="1" applyBorder="1" applyAlignment="1">
      <alignment horizontal="center" vertical="center"/>
    </xf>
    <xf numFmtId="3" fontId="127" fillId="0" borderId="0" xfId="0" applyNumberFormat="1" applyFont="1" applyBorder="1" applyAlignment="1">
      <alignment horizontal="center" vertical="center"/>
    </xf>
    <xf numFmtId="3" fontId="129" fillId="0" borderId="34" xfId="0" applyNumberFormat="1" applyFont="1" applyBorder="1" applyAlignment="1">
      <alignment horizontal="center" vertical="center"/>
    </xf>
    <xf numFmtId="3" fontId="128" fillId="0" borderId="329" xfId="0" applyNumberFormat="1" applyFont="1" applyBorder="1" applyAlignment="1">
      <alignment horizontal="center" vertical="center"/>
    </xf>
    <xf numFmtId="3" fontId="125" fillId="0" borderId="235" xfId="0" applyNumberFormat="1" applyFont="1" applyBorder="1" applyAlignment="1">
      <alignment horizontal="center" vertical="center"/>
    </xf>
    <xf numFmtId="3" fontId="128" fillId="0" borderId="232" xfId="0" applyNumberFormat="1" applyFont="1" applyBorder="1" applyAlignment="1">
      <alignment horizontal="center" vertical="center"/>
    </xf>
    <xf numFmtId="3" fontId="125" fillId="0" borderId="313" xfId="0" applyNumberFormat="1" applyFont="1" applyBorder="1" applyAlignment="1">
      <alignment horizontal="center" vertical="center"/>
    </xf>
    <xf numFmtId="3" fontId="129" fillId="0" borderId="228" xfId="0" applyNumberFormat="1" applyFont="1" applyBorder="1" applyAlignment="1">
      <alignment horizontal="center" vertical="center"/>
    </xf>
    <xf numFmtId="3" fontId="127" fillId="0" borderId="196" xfId="0" applyNumberFormat="1" applyFont="1" applyBorder="1" applyAlignment="1">
      <alignment horizontal="center" vertical="center"/>
    </xf>
    <xf numFmtId="3" fontId="129" fillId="0" borderId="232" xfId="0" applyNumberFormat="1" applyFont="1" applyBorder="1" applyAlignment="1">
      <alignment horizontal="center" vertical="center"/>
    </xf>
    <xf numFmtId="3" fontId="127" fillId="0" borderId="197" xfId="0" applyNumberFormat="1" applyFont="1" applyBorder="1" applyAlignment="1">
      <alignment horizontal="center" vertical="center"/>
    </xf>
    <xf numFmtId="0" fontId="126" fillId="0" borderId="0" xfId="0" applyFont="1" applyAlignment="1">
      <alignment vertical="center"/>
    </xf>
    <xf numFmtId="0" fontId="126" fillId="0" borderId="0" xfId="0" applyFont="1" applyAlignment="1">
      <alignment horizontal="center" vertical="center"/>
    </xf>
    <xf numFmtId="3" fontId="125" fillId="0" borderId="34" xfId="0" applyNumberFormat="1" applyFont="1" applyBorder="1" applyAlignment="1">
      <alignment horizontal="center" vertical="center"/>
    </xf>
    <xf numFmtId="3" fontId="127" fillId="0" borderId="34" xfId="0" applyNumberFormat="1" applyFont="1" applyBorder="1" applyAlignment="1">
      <alignment horizontal="center" vertical="center"/>
    </xf>
    <xf numFmtId="1" fontId="128" fillId="0" borderId="195" xfId="0" applyNumberFormat="1" applyFont="1" applyBorder="1" applyAlignment="1">
      <alignment horizontal="center" vertical="center"/>
    </xf>
    <xf numFmtId="1" fontId="125" fillId="0" borderId="404" xfId="0" applyNumberFormat="1" applyFont="1" applyBorder="1" applyAlignment="1">
      <alignment horizontal="center" vertical="center"/>
    </xf>
    <xf numFmtId="1" fontId="128" fillId="0" borderId="197" xfId="0" applyNumberFormat="1" applyFont="1" applyBorder="1" applyAlignment="1">
      <alignment horizontal="center" vertical="center"/>
    </xf>
    <xf numFmtId="3" fontId="126" fillId="1" borderId="34" xfId="0" applyNumberFormat="1" applyFont="1" applyFill="1" applyBorder="1" applyAlignment="1">
      <alignment horizontal="center" vertical="center"/>
    </xf>
    <xf numFmtId="172" fontId="128" fillId="0" borderId="327" xfId="0" applyNumberFormat="1" applyFont="1" applyBorder="1" applyAlignment="1">
      <alignment horizontal="center" vertical="center"/>
    </xf>
    <xf numFmtId="172" fontId="128" fillId="0" borderId="328" xfId="0" applyNumberFormat="1" applyFont="1" applyBorder="1" applyAlignment="1">
      <alignment horizontal="center" vertical="center"/>
    </xf>
    <xf numFmtId="172" fontId="125" fillId="0" borderId="232" xfId="0" applyNumberFormat="1" applyFont="1" applyBorder="1" applyAlignment="1">
      <alignment horizontal="center" vertical="center"/>
    </xf>
    <xf numFmtId="172" fontId="128" fillId="0" borderId="235" xfId="0" applyNumberFormat="1" applyFont="1" applyBorder="1" applyAlignment="1">
      <alignment horizontal="center" vertical="center"/>
    </xf>
    <xf numFmtId="3" fontId="130" fillId="0" borderId="368" xfId="0" applyNumberFormat="1" applyFont="1" applyBorder="1" applyAlignment="1">
      <alignment horizontal="center" vertical="center"/>
    </xf>
    <xf numFmtId="3" fontId="125" fillId="0" borderId="242" xfId="0" applyNumberFormat="1" applyFont="1" applyBorder="1" applyAlignment="1">
      <alignment horizontal="center" vertical="center"/>
    </xf>
    <xf numFmtId="3" fontId="128" fillId="0" borderId="327" xfId="0" applyNumberFormat="1" applyFont="1" applyBorder="1" applyAlignment="1">
      <alignment horizontal="center" vertical="center"/>
    </xf>
    <xf numFmtId="3" fontId="126" fillId="1" borderId="232" xfId="0" applyNumberFormat="1" applyFont="1" applyFill="1" applyBorder="1" applyAlignment="1">
      <alignment horizontal="center" vertical="center"/>
    </xf>
    <xf numFmtId="3" fontId="128" fillId="0" borderId="235" xfId="0" applyNumberFormat="1" applyFont="1" applyBorder="1" applyAlignment="1">
      <alignment horizontal="center" vertical="center"/>
    </xf>
    <xf numFmtId="3" fontId="130" fillId="0" borderId="0" xfId="0" applyNumberFormat="1" applyFont="1" applyBorder="1" applyAlignment="1">
      <alignment horizontal="center" vertical="center"/>
    </xf>
    <xf numFmtId="3" fontId="125" fillId="0" borderId="264" xfId="0" applyNumberFormat="1" applyFont="1" applyBorder="1" applyAlignment="1">
      <alignment horizontal="center" vertical="center"/>
    </xf>
    <xf numFmtId="0" fontId="126" fillId="0" borderId="368" xfId="0" applyFont="1" applyFill="1" applyBorder="1" applyAlignment="1">
      <alignment horizontal="center" vertical="center"/>
    </xf>
    <xf numFmtId="172" fontId="7" fillId="0" borderId="121" xfId="2" applyNumberFormat="1" applyFont="1" applyFill="1" applyBorder="1" applyAlignment="1">
      <alignment horizontal="center" vertical="center"/>
    </xf>
    <xf numFmtId="9" fontId="7" fillId="0" borderId="418" xfId="2" applyFont="1" applyFill="1" applyBorder="1" applyAlignment="1">
      <alignment horizontal="center" vertical="center"/>
    </xf>
    <xf numFmtId="3" fontId="7" fillId="0" borderId="146" xfId="0" applyNumberFormat="1" applyFont="1" applyFill="1" applyBorder="1" applyAlignment="1">
      <alignment horizontal="center" vertical="center"/>
    </xf>
    <xf numFmtId="0" fontId="47" fillId="0" borderId="40" xfId="0" applyFont="1" applyBorder="1" applyAlignment="1">
      <alignment horizontal="center" vertical="center"/>
    </xf>
    <xf numFmtId="172" fontId="7" fillId="8" borderId="219" xfId="2" applyNumberFormat="1" applyFont="1" applyFill="1" applyBorder="1" applyAlignment="1">
      <alignment horizontal="center" vertical="center"/>
    </xf>
    <xf numFmtId="3" fontId="7" fillId="1" borderId="218" xfId="0" applyNumberFormat="1" applyFont="1" applyFill="1" applyBorder="1" applyAlignment="1">
      <alignment horizontal="center" vertical="center"/>
    </xf>
    <xf numFmtId="3" fontId="7" fillId="1" borderId="43" xfId="0" applyNumberFormat="1" applyFont="1" applyFill="1" applyBorder="1" applyAlignment="1">
      <alignment horizontal="center" vertical="center"/>
    </xf>
    <xf numFmtId="3" fontId="7" fillId="1" borderId="40" xfId="0" applyNumberFormat="1" applyFont="1" applyFill="1" applyBorder="1" applyAlignment="1">
      <alignment horizontal="center" vertical="center"/>
    </xf>
    <xf numFmtId="165" fontId="116" fillId="12" borderId="219" xfId="0" applyNumberFormat="1" applyFont="1" applyFill="1" applyBorder="1" applyAlignment="1">
      <alignment horizontal="center" vertical="center" wrapText="1"/>
    </xf>
    <xf numFmtId="165" fontId="115" fillId="18" borderId="75" xfId="0" applyNumberFormat="1" applyFont="1" applyFill="1" applyBorder="1" applyAlignment="1">
      <alignment horizontal="center" vertical="center" wrapText="1"/>
    </xf>
    <xf numFmtId="165" fontId="115" fillId="18" borderId="330" xfId="0" applyNumberFormat="1" applyFont="1" applyFill="1" applyBorder="1" applyAlignment="1">
      <alignment horizontal="center" vertical="center" wrapText="1"/>
    </xf>
    <xf numFmtId="165" fontId="115" fillId="18" borderId="283" xfId="0" applyNumberFormat="1" applyFont="1" applyFill="1" applyBorder="1" applyAlignment="1">
      <alignment horizontal="center" vertical="center" wrapText="1"/>
    </xf>
    <xf numFmtId="0" fontId="17" fillId="0" borderId="0" xfId="0" applyFont="1" applyBorder="1" applyAlignment="1">
      <alignment vertical="center"/>
    </xf>
    <xf numFmtId="0" fontId="90" fillId="0" borderId="0" xfId="0" applyFont="1" applyBorder="1" applyAlignment="1">
      <alignment vertical="center"/>
    </xf>
    <xf numFmtId="0" fontId="126" fillId="0" borderId="0" xfId="0" applyFont="1" applyBorder="1" applyAlignment="1">
      <alignment horizontal="center" vertical="center"/>
    </xf>
    <xf numFmtId="3" fontId="128" fillId="0" borderId="0" xfId="0" applyNumberFormat="1" applyFont="1" applyBorder="1" applyAlignment="1">
      <alignment horizontal="center" vertical="center"/>
    </xf>
    <xf numFmtId="3" fontId="128" fillId="0" borderId="325" xfId="0" applyNumberFormat="1" applyFont="1" applyFill="1" applyBorder="1" applyAlignment="1">
      <alignment horizontal="center" vertical="center"/>
    </xf>
    <xf numFmtId="3" fontId="128" fillId="0" borderId="419" xfId="0" applyNumberFormat="1" applyFont="1" applyFill="1" applyBorder="1" applyAlignment="1">
      <alignment horizontal="center" vertical="center"/>
    </xf>
    <xf numFmtId="3" fontId="129" fillId="0" borderId="419" xfId="0" applyNumberFormat="1" applyFont="1" applyFill="1" applyBorder="1" applyAlignment="1">
      <alignment horizontal="center" vertical="center"/>
    </xf>
    <xf numFmtId="3" fontId="128" fillId="0" borderId="326" xfId="0" applyNumberFormat="1" applyFont="1" applyBorder="1" applyAlignment="1">
      <alignment horizontal="center" vertical="center"/>
    </xf>
    <xf numFmtId="3" fontId="129" fillId="0" borderId="0" xfId="0" applyNumberFormat="1" applyFont="1" applyBorder="1" applyAlignment="1">
      <alignment horizontal="center" vertical="center"/>
    </xf>
    <xf numFmtId="3" fontId="129" fillId="0" borderId="236" xfId="0" applyNumberFormat="1" applyFont="1" applyBorder="1" applyAlignment="1">
      <alignment horizontal="center" vertical="center"/>
    </xf>
    <xf numFmtId="3" fontId="129" fillId="0" borderId="236" xfId="0" applyNumberFormat="1" applyFont="1" applyFill="1" applyBorder="1" applyAlignment="1">
      <alignment horizontal="center" vertical="center"/>
    </xf>
    <xf numFmtId="0" fontId="44" fillId="18" borderId="84" xfId="0" applyFont="1" applyFill="1" applyBorder="1" applyAlignment="1">
      <alignment vertical="center"/>
    </xf>
    <xf numFmtId="49" fontId="42" fillId="20" borderId="84" xfId="0" applyNumberFormat="1" applyFont="1" applyFill="1" applyBorder="1" applyAlignment="1">
      <alignment vertical="center" wrapText="1"/>
    </xf>
    <xf numFmtId="0" fontId="44" fillId="21" borderId="84" xfId="0" applyFont="1" applyFill="1" applyBorder="1" applyAlignment="1">
      <alignment vertical="center" wrapText="1"/>
    </xf>
    <xf numFmtId="0" fontId="42" fillId="19" borderId="84" xfId="0" applyFont="1" applyFill="1" applyBorder="1" applyAlignment="1">
      <alignment vertical="center" wrapText="1"/>
    </xf>
    <xf numFmtId="165" fontId="16" fillId="18" borderId="302" xfId="0" applyNumberFormat="1" applyFont="1" applyFill="1" applyBorder="1" applyAlignment="1">
      <alignment horizontal="center" vertical="center" wrapText="1"/>
    </xf>
    <xf numFmtId="165" fontId="16" fillId="18" borderId="44" xfId="0" applyNumberFormat="1" applyFont="1" applyFill="1" applyBorder="1" applyAlignment="1">
      <alignment horizontal="center" vertical="center" wrapText="1"/>
    </xf>
    <xf numFmtId="165" fontId="16" fillId="18" borderId="19" xfId="0" applyNumberFormat="1" applyFont="1" applyFill="1" applyBorder="1" applyAlignment="1">
      <alignment horizontal="center" vertical="center" wrapText="1"/>
    </xf>
    <xf numFmtId="0" fontId="13" fillId="0" borderId="0" xfId="0" applyNumberFormat="1" applyFont="1" applyBorder="1" applyAlignment="1">
      <alignment vertical="center"/>
    </xf>
    <xf numFmtId="183" fontId="47" fillId="0" borderId="0" xfId="0" applyNumberFormat="1" applyFont="1" applyFill="1" applyBorder="1" applyAlignment="1">
      <alignment vertical="center"/>
    </xf>
    <xf numFmtId="165" fontId="2" fillId="0" borderId="0" xfId="0" applyNumberFormat="1" applyFont="1" applyBorder="1" applyAlignment="1">
      <alignment vertical="center"/>
    </xf>
    <xf numFmtId="172" fontId="2" fillId="0" borderId="0" xfId="2" applyNumberFormat="1" applyFont="1" applyBorder="1" applyAlignment="1">
      <alignment vertical="center"/>
    </xf>
    <xf numFmtId="3" fontId="17" fillId="0" borderId="85" xfId="0" applyNumberFormat="1" applyFont="1" applyBorder="1" applyAlignment="1">
      <alignment vertical="center" wrapText="1"/>
    </xf>
    <xf numFmtId="0" fontId="17" fillId="0" borderId="85" xfId="0" applyFont="1" applyBorder="1" applyAlignment="1">
      <alignment vertical="center" wrapText="1"/>
    </xf>
    <xf numFmtId="0" fontId="13" fillId="0" borderId="85" xfId="0" applyNumberFormat="1" applyFont="1" applyBorder="1" applyAlignment="1">
      <alignment horizontal="center" vertical="center"/>
    </xf>
    <xf numFmtId="0" fontId="13" fillId="0" borderId="380" xfId="0" applyNumberFormat="1" applyFont="1" applyBorder="1" applyAlignment="1">
      <alignment horizontal="center" vertical="center"/>
    </xf>
    <xf numFmtId="183" fontId="47" fillId="0" borderId="380" xfId="0" applyNumberFormat="1" applyFont="1" applyFill="1" applyBorder="1" applyAlignment="1">
      <alignment horizontal="center" vertical="center"/>
    </xf>
    <xf numFmtId="183" fontId="47" fillId="0" borderId="420" xfId="0" applyNumberFormat="1" applyFont="1" applyFill="1" applyBorder="1" applyAlignment="1">
      <alignment horizontal="center" vertical="center"/>
    </xf>
    <xf numFmtId="165" fontId="2" fillId="0" borderId="85" xfId="0" applyNumberFormat="1" applyFont="1" applyBorder="1" applyAlignment="1">
      <alignment horizontal="center" vertical="center"/>
    </xf>
    <xf numFmtId="165" fontId="2" fillId="0" borderId="380" xfId="0" applyNumberFormat="1" applyFont="1" applyBorder="1" applyAlignment="1">
      <alignment horizontal="center" vertical="center"/>
    </xf>
    <xf numFmtId="165" fontId="36" fillId="0" borderId="380" xfId="0" applyNumberFormat="1" applyFont="1" applyBorder="1" applyAlignment="1">
      <alignment horizontal="center" vertical="center"/>
    </xf>
    <xf numFmtId="165" fontId="36" fillId="0" borderId="420" xfId="0" applyNumberFormat="1" applyFont="1" applyBorder="1" applyAlignment="1">
      <alignment horizontal="center" vertical="center"/>
    </xf>
    <xf numFmtId="172" fontId="2" fillId="0" borderId="85" xfId="2" applyNumberFormat="1" applyFont="1" applyBorder="1" applyAlignment="1">
      <alignment horizontal="center" vertical="center"/>
    </xf>
    <xf numFmtId="172" fontId="2" fillId="0" borderId="380" xfId="2" applyNumberFormat="1" applyFont="1" applyBorder="1" applyAlignment="1">
      <alignment horizontal="center" vertical="center"/>
    </xf>
    <xf numFmtId="172" fontId="2" fillId="0" borderId="420" xfId="2" applyNumberFormat="1" applyFont="1" applyBorder="1" applyAlignment="1">
      <alignment horizontal="center" vertical="center"/>
    </xf>
    <xf numFmtId="0" fontId="131" fillId="0" borderId="0" xfId="0" applyFont="1" applyAlignment="1">
      <alignment vertical="center"/>
    </xf>
    <xf numFmtId="0" fontId="44" fillId="3" borderId="84" xfId="0" applyFont="1" applyFill="1" applyBorder="1" applyAlignment="1">
      <alignment vertical="center"/>
    </xf>
    <xf numFmtId="0" fontId="42" fillId="0" borderId="0" xfId="0" applyFont="1" applyAlignment="1">
      <alignment vertical="center" wrapText="1"/>
    </xf>
    <xf numFmtId="0" fontId="4" fillId="17" borderId="20" xfId="0" applyFont="1" applyFill="1" applyBorder="1" applyAlignment="1">
      <alignment vertical="center"/>
    </xf>
    <xf numFmtId="0" fontId="35" fillId="17" borderId="0" xfId="0" applyFont="1" applyFill="1" applyBorder="1" applyAlignment="1">
      <alignment vertical="center"/>
    </xf>
    <xf numFmtId="0" fontId="79" fillId="0" borderId="25" xfId="0" applyFont="1" applyFill="1" applyBorder="1" applyAlignment="1" applyProtection="1">
      <alignment horizontal="center" vertical="center"/>
    </xf>
    <xf numFmtId="0" fontId="79" fillId="0" borderId="31" xfId="0" applyFont="1" applyFill="1" applyBorder="1" applyAlignment="1">
      <alignment horizontal="center" vertical="center"/>
    </xf>
    <xf numFmtId="189" fontId="80" fillId="0" borderId="20" xfId="1" applyNumberFormat="1" applyFont="1" applyFill="1" applyBorder="1" applyAlignment="1" applyProtection="1">
      <alignment horizontal="right" vertical="center"/>
    </xf>
    <xf numFmtId="189" fontId="80" fillId="0" borderId="20" xfId="1" applyNumberFormat="1" applyFont="1" applyFill="1" applyBorder="1" applyAlignment="1" applyProtection="1">
      <alignment horizontal="right" vertical="center"/>
      <protection locked="0"/>
    </xf>
    <xf numFmtId="0" fontId="82" fillId="0" borderId="268" xfId="0" applyFont="1" applyFill="1" applyBorder="1" applyAlignment="1">
      <alignment horizontal="left" vertical="center"/>
    </xf>
    <xf numFmtId="189" fontId="80" fillId="0" borderId="233" xfId="1" applyNumberFormat="1" applyFont="1" applyFill="1" applyBorder="1" applyAlignment="1" applyProtection="1">
      <alignment horizontal="right" vertical="center"/>
    </xf>
    <xf numFmtId="189" fontId="80" fillId="8" borderId="232" xfId="1" applyNumberFormat="1" applyFont="1" applyFill="1" applyBorder="1" applyAlignment="1" applyProtection="1">
      <alignment horizontal="right" vertical="center"/>
      <protection locked="0"/>
    </xf>
    <xf numFmtId="189" fontId="80" fillId="8" borderId="222" xfId="1" applyNumberFormat="1" applyFont="1" applyFill="1" applyBorder="1" applyAlignment="1" applyProtection="1">
      <alignment horizontal="right" vertical="center"/>
      <protection locked="0"/>
    </xf>
    <xf numFmtId="0" fontId="82" fillId="0" borderId="251" xfId="0" applyFont="1" applyFill="1" applyBorder="1" applyAlignment="1">
      <alignment horizontal="left" vertical="center"/>
    </xf>
    <xf numFmtId="189" fontId="80" fillId="0" borderId="267" xfId="1" applyNumberFormat="1" applyFont="1" applyFill="1" applyBorder="1" applyAlignment="1" applyProtection="1">
      <alignment horizontal="right" vertical="center"/>
    </xf>
    <xf numFmtId="189" fontId="80" fillId="8" borderId="243" xfId="1" applyNumberFormat="1" applyFont="1" applyFill="1" applyBorder="1" applyAlignment="1" applyProtection="1">
      <alignment horizontal="right" vertical="center"/>
      <protection locked="0"/>
    </xf>
    <xf numFmtId="189" fontId="80" fillId="8" borderId="224" xfId="1" applyNumberFormat="1" applyFont="1" applyFill="1" applyBorder="1" applyAlignment="1" applyProtection="1">
      <alignment horizontal="right" vertical="center"/>
      <protection locked="0"/>
    </xf>
    <xf numFmtId="0" fontId="84" fillId="0" borderId="23" xfId="0" applyFont="1" applyFill="1" applyBorder="1" applyAlignment="1">
      <alignment horizontal="right" vertical="center"/>
    </xf>
    <xf numFmtId="0" fontId="35" fillId="0" borderId="20" xfId="0" applyFont="1" applyFill="1" applyBorder="1" applyAlignment="1">
      <alignment vertical="center"/>
    </xf>
    <xf numFmtId="0" fontId="82" fillId="0" borderId="250" xfId="0" applyFont="1" applyFill="1" applyBorder="1" applyAlignment="1">
      <alignment horizontal="left" vertical="center"/>
    </xf>
    <xf numFmtId="189" fontId="80" fillId="0" borderId="242" xfId="1" applyNumberFormat="1" applyFont="1" applyFill="1" applyBorder="1" applyAlignment="1" applyProtection="1">
      <alignment horizontal="right" vertical="center"/>
    </xf>
    <xf numFmtId="0" fontId="79" fillId="15" borderId="236" xfId="0" applyFont="1" applyFill="1" applyBorder="1" applyAlignment="1">
      <alignment horizontal="center" vertical="center"/>
    </xf>
    <xf numFmtId="0" fontId="88" fillId="0" borderId="250" xfId="0" applyFont="1" applyFill="1" applyBorder="1" applyAlignment="1">
      <alignment horizontal="left" vertical="center"/>
    </xf>
    <xf numFmtId="189" fontId="80" fillId="8" borderId="236" xfId="1" applyNumberFormat="1" applyFont="1" applyFill="1" applyBorder="1" applyAlignment="1" applyProtection="1">
      <alignment horizontal="right" vertical="center"/>
      <protection locked="0"/>
    </xf>
    <xf numFmtId="189" fontId="80" fillId="8" borderId="241" xfId="1" applyNumberFormat="1" applyFont="1" applyFill="1" applyBorder="1" applyAlignment="1" applyProtection="1">
      <alignment horizontal="right" vertical="center"/>
      <protection locked="0"/>
    </xf>
    <xf numFmtId="0" fontId="88" fillId="0" borderId="251" xfId="0" applyFont="1" applyFill="1" applyBorder="1" applyAlignment="1">
      <alignment horizontal="left" vertical="center"/>
    </xf>
    <xf numFmtId="189" fontId="80" fillId="17" borderId="0" xfId="1" applyNumberFormat="1" applyFont="1" applyFill="1" applyBorder="1" applyAlignment="1" applyProtection="1">
      <alignment horizontal="right" vertical="center"/>
      <protection locked="0"/>
    </xf>
    <xf numFmtId="0" fontId="7" fillId="17" borderId="0" xfId="0" applyFont="1" applyFill="1" applyAlignment="1">
      <alignment vertical="center"/>
    </xf>
    <xf numFmtId="0" fontId="114" fillId="0" borderId="0" xfId="0" applyFont="1" applyBorder="1" applyAlignment="1">
      <alignment vertical="center" wrapText="1"/>
    </xf>
    <xf numFmtId="3" fontId="4" fillId="15" borderId="194" xfId="1" applyNumberFormat="1" applyFont="1" applyFill="1" applyBorder="1" applyAlignment="1" applyProtection="1">
      <alignment vertical="center"/>
    </xf>
    <xf numFmtId="3" fontId="4" fillId="15" borderId="425" xfId="1" applyNumberFormat="1" applyFont="1" applyFill="1" applyBorder="1" applyAlignment="1" applyProtection="1">
      <alignment vertical="center"/>
    </xf>
    <xf numFmtId="0" fontId="133" fillId="0" borderId="0" xfId="0" applyFont="1" applyBorder="1" applyAlignment="1">
      <alignment vertical="center" wrapText="1"/>
    </xf>
    <xf numFmtId="0" fontId="13" fillId="0" borderId="426" xfId="0" applyNumberFormat="1" applyFont="1" applyBorder="1" applyAlignment="1">
      <alignment horizontal="center" vertical="center"/>
    </xf>
    <xf numFmtId="3" fontId="127" fillId="0" borderId="236" xfId="0" applyNumberFormat="1" applyFont="1" applyBorder="1" applyAlignment="1">
      <alignment horizontal="center" vertical="center"/>
    </xf>
    <xf numFmtId="0" fontId="4" fillId="0" borderId="0" xfId="0" applyFont="1"/>
    <xf numFmtId="0" fontId="106" fillId="0" borderId="0" xfId="0" applyFont="1" applyAlignment="1">
      <alignment horizontal="justify" vertical="center" wrapText="1"/>
    </xf>
    <xf numFmtId="0" fontId="12" fillId="0" borderId="0" xfId="0" applyFont="1" applyAlignment="1">
      <alignment horizontal="right" vertical="center"/>
    </xf>
    <xf numFmtId="192" fontId="17" fillId="0" borderId="0" xfId="0" applyNumberFormat="1"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4" fillId="0" borderId="12" xfId="0" applyFont="1" applyBorder="1"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12" fillId="0" borderId="378" xfId="0" applyFont="1" applyBorder="1" applyAlignment="1">
      <alignment horizontal="center" vertical="center" wrapText="1"/>
    </xf>
    <xf numFmtId="0" fontId="17" fillId="0" borderId="372" xfId="0" applyFont="1" applyBorder="1" applyAlignment="1">
      <alignment horizontal="right" vertical="center" wrapText="1"/>
    </xf>
    <xf numFmtId="0" fontId="5" fillId="0" borderId="428" xfId="0" applyFont="1" applyBorder="1" applyAlignment="1">
      <alignment horizontal="center" vertical="center" wrapText="1"/>
    </xf>
    <xf numFmtId="0" fontId="17" fillId="0" borderId="0" xfId="0" applyFont="1" applyBorder="1" applyAlignment="1">
      <alignment horizontal="right" vertical="center" wrapText="1"/>
    </xf>
    <xf numFmtId="0" fontId="5" fillId="0" borderId="0" xfId="0" applyFont="1" applyBorder="1" applyAlignment="1">
      <alignment horizontal="center" vertical="center" wrapText="1"/>
    </xf>
    <xf numFmtId="165" fontId="12" fillId="0" borderId="0" xfId="0" applyNumberFormat="1" applyFont="1" applyBorder="1" applyAlignment="1">
      <alignment horizontal="center" vertical="center" wrapText="1"/>
    </xf>
    <xf numFmtId="9" fontId="12" fillId="0" borderId="0" xfId="2" applyNumberFormat="1" applyFont="1" applyBorder="1" applyAlignment="1">
      <alignment horizontal="center" vertical="center" wrapText="1"/>
    </xf>
    <xf numFmtId="0" fontId="7" fillId="0" borderId="0" xfId="0" applyFont="1" applyBorder="1" applyAlignment="1">
      <alignment horizontal="right" vertical="center" wrapText="1"/>
    </xf>
    <xf numFmtId="0" fontId="12" fillId="0" borderId="429" xfId="0" applyFont="1" applyBorder="1" applyAlignment="1">
      <alignment horizontal="center" vertical="center" wrapText="1"/>
    </xf>
    <xf numFmtId="165" fontId="12" fillId="0" borderId="374" xfId="0" applyNumberFormat="1" applyFont="1" applyBorder="1" applyAlignment="1">
      <alignment horizontal="center" vertical="center" wrapText="1"/>
    </xf>
    <xf numFmtId="0" fontId="17" fillId="0" borderId="428" xfId="0" applyFont="1" applyBorder="1" applyAlignment="1">
      <alignment horizontal="right" vertical="center" wrapText="1"/>
    </xf>
    <xf numFmtId="0" fontId="12" fillId="0" borderId="430" xfId="0" applyFont="1" applyBorder="1" applyAlignment="1">
      <alignment horizontal="center" vertical="center" wrapText="1"/>
    </xf>
    <xf numFmtId="0" fontId="12" fillId="0" borderId="431" xfId="0" applyFont="1" applyBorder="1" applyAlignment="1">
      <alignment horizontal="center" vertical="center" wrapText="1"/>
    </xf>
    <xf numFmtId="0" fontId="12" fillId="4" borderId="427" xfId="0" applyFont="1" applyFill="1" applyBorder="1" applyAlignment="1">
      <alignment horizontal="center" vertical="center" wrapText="1"/>
    </xf>
    <xf numFmtId="0" fontId="12" fillId="4" borderId="336" xfId="0" applyFont="1" applyFill="1" applyBorder="1" applyAlignment="1">
      <alignment horizontal="center" vertical="center" wrapText="1"/>
    </xf>
    <xf numFmtId="0" fontId="38" fillId="0" borderId="22" xfId="0" applyFont="1" applyBorder="1" applyAlignment="1">
      <alignment horizontal="center" vertical="center" wrapText="1"/>
    </xf>
    <xf numFmtId="0" fontId="5" fillId="0" borderId="376" xfId="0" applyFont="1" applyBorder="1" applyAlignment="1">
      <alignment horizontal="center" vertical="center" wrapText="1"/>
    </xf>
    <xf numFmtId="0" fontId="134" fillId="0" borderId="0" xfId="0" applyFont="1" applyAlignment="1">
      <alignment vertical="center"/>
    </xf>
    <xf numFmtId="0" fontId="137" fillId="0" borderId="0" xfId="0" applyFont="1" applyAlignment="1">
      <alignment vertical="center"/>
    </xf>
    <xf numFmtId="0" fontId="7" fillId="0" borderId="0" xfId="0" applyFont="1" applyFill="1" applyBorder="1" applyAlignment="1">
      <alignment vertical="center" wrapText="1"/>
    </xf>
    <xf numFmtId="0" fontId="86" fillId="0" borderId="0" xfId="0" applyFont="1" applyAlignment="1">
      <alignment horizontal="left" vertical="center" wrapText="1"/>
    </xf>
    <xf numFmtId="0" fontId="10" fillId="11" borderId="0" xfId="0" applyFont="1" applyFill="1"/>
    <xf numFmtId="0" fontId="0" fillId="11" borderId="0" xfId="0" applyFill="1"/>
    <xf numFmtId="0" fontId="0" fillId="18" borderId="0" xfId="0" applyFill="1"/>
    <xf numFmtId="0" fontId="10" fillId="0" borderId="0" xfId="0" applyFont="1" applyAlignment="1">
      <alignment horizontal="center"/>
    </xf>
    <xf numFmtId="0" fontId="10" fillId="0" borderId="0" xfId="0" applyFont="1"/>
    <xf numFmtId="195" fontId="12" fillId="0" borderId="96" xfId="0" applyNumberFormat="1" applyFont="1" applyBorder="1" applyAlignment="1">
      <alignment vertical="center"/>
    </xf>
    <xf numFmtId="195" fontId="12" fillId="0" borderId="107" xfId="0" applyNumberFormat="1" applyFont="1" applyBorder="1" applyAlignment="1">
      <alignment vertical="center"/>
    </xf>
    <xf numFmtId="195" fontId="12" fillId="0" borderId="97" xfId="0" applyNumberFormat="1" applyFont="1" applyBorder="1" applyAlignment="1">
      <alignment vertical="center"/>
    </xf>
    <xf numFmtId="195" fontId="12" fillId="0" borderId="108" xfId="0" applyNumberFormat="1" applyFont="1" applyBorder="1" applyAlignment="1">
      <alignment vertical="center"/>
    </xf>
    <xf numFmtId="178" fontId="12" fillId="0" borderId="417" xfId="0" applyNumberFormat="1" applyFont="1" applyBorder="1" applyAlignment="1">
      <alignment horizontal="right" vertical="center" indent="3"/>
    </xf>
    <xf numFmtId="9" fontId="12" fillId="0" borderId="130" xfId="0" applyNumberFormat="1" applyFont="1" applyBorder="1" applyAlignment="1">
      <alignment horizontal="right" vertical="center" indent="3"/>
    </xf>
    <xf numFmtId="9" fontId="12" fillId="0" borderId="132" xfId="0" applyNumberFormat="1" applyFont="1" applyBorder="1" applyAlignment="1">
      <alignment horizontal="right" vertical="center" indent="3"/>
    </xf>
    <xf numFmtId="0" fontId="71" fillId="0" borderId="0" xfId="0" applyFont="1" applyBorder="1" applyAlignment="1">
      <alignment vertical="center"/>
    </xf>
    <xf numFmtId="0" fontId="3" fillId="0" borderId="0" xfId="0" applyFont="1" applyBorder="1" applyAlignment="1">
      <alignment vertical="center"/>
    </xf>
    <xf numFmtId="1" fontId="3" fillId="0" borderId="96" xfId="0" applyNumberFormat="1" applyFont="1" applyFill="1" applyBorder="1" applyAlignment="1">
      <alignment horizontal="center" vertical="center"/>
    </xf>
    <xf numFmtId="1" fontId="3" fillId="0" borderId="107" xfId="0" applyNumberFormat="1" applyFont="1" applyFill="1" applyBorder="1" applyAlignment="1">
      <alignment horizontal="center" vertical="center"/>
    </xf>
    <xf numFmtId="0" fontId="3" fillId="0" borderId="0" xfId="0" applyFont="1" applyAlignment="1">
      <alignment vertical="center"/>
    </xf>
    <xf numFmtId="0" fontId="3" fillId="0" borderId="107" xfId="0" applyFont="1" applyFill="1" applyBorder="1" applyAlignment="1">
      <alignment horizontal="center" vertical="center"/>
    </xf>
    <xf numFmtId="0" fontId="71" fillId="0" borderId="0" xfId="0" applyFont="1" applyAlignment="1">
      <alignment vertical="center"/>
    </xf>
    <xf numFmtId="1" fontId="3" fillId="0" borderId="102" xfId="0" applyNumberFormat="1" applyFont="1" applyFill="1" applyBorder="1" applyAlignment="1">
      <alignment horizontal="center" vertical="center"/>
    </xf>
    <xf numFmtId="0" fontId="71" fillId="0" borderId="43" xfId="0" applyFont="1" applyBorder="1" applyAlignment="1">
      <alignment vertical="center"/>
    </xf>
    <xf numFmtId="0" fontId="3" fillId="0" borderId="271" xfId="0" applyFont="1" applyFill="1" applyBorder="1" applyAlignment="1">
      <alignment horizontal="center" vertical="center"/>
    </xf>
    <xf numFmtId="0" fontId="3" fillId="0" borderId="223" xfId="0" applyFont="1" applyFill="1" applyBorder="1" applyAlignment="1">
      <alignment horizontal="center" vertical="center"/>
    </xf>
    <xf numFmtId="0" fontId="136" fillId="0" borderId="0" xfId="0" applyFont="1" applyBorder="1" applyAlignment="1">
      <alignment vertical="center" wrapText="1"/>
    </xf>
    <xf numFmtId="0" fontId="0" fillId="19" borderId="0" xfId="0" applyFill="1"/>
    <xf numFmtId="0" fontId="12" fillId="0" borderId="0" xfId="0" applyFont="1" applyAlignment="1"/>
    <xf numFmtId="0" fontId="2" fillId="0" borderId="1" xfId="0" applyFont="1" applyBorder="1" applyAlignment="1">
      <alignment horizontal="center" vertical="center"/>
    </xf>
    <xf numFmtId="196" fontId="17" fillId="0" borderId="0" xfId="0" applyNumberFormat="1" applyFont="1" applyAlignment="1">
      <alignment horizontal="center" vertical="center"/>
    </xf>
    <xf numFmtId="165" fontId="4" fillId="5" borderId="108" xfId="0" applyNumberFormat="1" applyFont="1" applyFill="1" applyBorder="1" applyAlignment="1">
      <alignment horizontal="center" vertical="center"/>
    </xf>
    <xf numFmtId="165" fontId="5" fillId="0" borderId="113" xfId="0" applyNumberFormat="1" applyFont="1" applyFill="1" applyBorder="1" applyAlignment="1">
      <alignment horizontal="center" vertical="center"/>
    </xf>
    <xf numFmtId="3" fontId="5" fillId="0" borderId="116" xfId="0" applyNumberFormat="1" applyFont="1" applyFill="1" applyBorder="1" applyAlignment="1">
      <alignment horizontal="center" vertical="center"/>
    </xf>
    <xf numFmtId="0" fontId="57" fillId="0" borderId="398" xfId="0" applyFont="1" applyBorder="1" applyAlignment="1">
      <alignment vertical="center" wrapText="1"/>
    </xf>
    <xf numFmtId="0" fontId="12" fillId="0" borderId="90" xfId="0" applyFont="1" applyBorder="1" applyAlignment="1">
      <alignment vertical="center"/>
    </xf>
    <xf numFmtId="0" fontId="4" fillId="0" borderId="433" xfId="0" applyFont="1" applyBorder="1"/>
    <xf numFmtId="0" fontId="4" fillId="0" borderId="433" xfId="0" applyFont="1" applyFill="1" applyBorder="1"/>
    <xf numFmtId="0" fontId="134" fillId="0" borderId="0" xfId="0" applyFont="1" applyFill="1" applyBorder="1" applyAlignment="1">
      <alignment vertical="center" wrapText="1"/>
    </xf>
    <xf numFmtId="0" fontId="135" fillId="0" borderId="0" xfId="0" applyFont="1" applyAlignment="1">
      <alignment vertical="center"/>
    </xf>
    <xf numFmtId="0" fontId="140" fillId="0" borderId="0" xfId="0" applyFont="1" applyAlignment="1">
      <alignment vertical="center"/>
    </xf>
    <xf numFmtId="0" fontId="141" fillId="0" borderId="0" xfId="0" applyFont="1" applyBorder="1" applyAlignment="1">
      <alignment vertical="center"/>
    </xf>
    <xf numFmtId="0" fontId="141" fillId="0" borderId="0" xfId="0" applyFont="1" applyAlignment="1">
      <alignment vertical="center"/>
    </xf>
    <xf numFmtId="1" fontId="3" fillId="0" borderId="437" xfId="0" applyNumberFormat="1" applyFont="1" applyFill="1" applyBorder="1" applyAlignment="1">
      <alignment horizontal="center" vertical="center"/>
    </xf>
    <xf numFmtId="195" fontId="12" fillId="0" borderId="437" xfId="0" applyNumberFormat="1" applyFont="1" applyBorder="1" applyAlignment="1">
      <alignment vertical="center"/>
    </xf>
    <xf numFmtId="195" fontId="12" fillId="0" borderId="438" xfId="0" applyNumberFormat="1" applyFont="1" applyBorder="1" applyAlignment="1">
      <alignment vertical="center"/>
    </xf>
    <xf numFmtId="9" fontId="12" fillId="0" borderId="439" xfId="0" applyNumberFormat="1" applyFont="1" applyBorder="1" applyAlignment="1">
      <alignment horizontal="right" vertical="center" indent="3"/>
    </xf>
    <xf numFmtId="1" fontId="3" fillId="0" borderId="440" xfId="0" applyNumberFormat="1" applyFont="1" applyFill="1" applyBorder="1" applyAlignment="1">
      <alignment horizontal="center" vertical="center"/>
    </xf>
    <xf numFmtId="0" fontId="12" fillId="0" borderId="441" xfId="0" applyNumberFormat="1" applyFont="1" applyBorder="1" applyAlignment="1">
      <alignment horizontal="center" vertical="center"/>
    </xf>
    <xf numFmtId="0" fontId="13" fillId="0" borderId="442" xfId="0" applyNumberFormat="1" applyFont="1" applyBorder="1" applyAlignment="1">
      <alignment horizontal="center" vertical="center"/>
    </xf>
    <xf numFmtId="1" fontId="3" fillId="0" borderId="388" xfId="0" applyNumberFormat="1" applyFont="1" applyFill="1" applyBorder="1" applyAlignment="1">
      <alignment horizontal="center" vertical="center"/>
    </xf>
    <xf numFmtId="165" fontId="12" fillId="0" borderId="388" xfId="0" applyNumberFormat="1" applyFont="1" applyBorder="1" applyAlignment="1">
      <alignment horizontal="center" vertical="center"/>
    </xf>
    <xf numFmtId="0" fontId="12" fillId="0" borderId="388" xfId="0" applyFont="1" applyBorder="1" applyAlignment="1">
      <alignment horizontal="center" vertical="center"/>
    </xf>
    <xf numFmtId="3" fontId="12" fillId="0" borderId="388" xfId="0" applyNumberFormat="1" applyFont="1" applyBorder="1" applyAlignment="1">
      <alignment horizontal="center" vertical="center"/>
    </xf>
    <xf numFmtId="165" fontId="12" fillId="0" borderId="443" xfId="0" applyNumberFormat="1" applyFont="1" applyBorder="1" applyAlignment="1">
      <alignment horizontal="center" vertical="center"/>
    </xf>
    <xf numFmtId="165" fontId="13" fillId="0" borderId="442" xfId="0" applyNumberFormat="1" applyFont="1" applyBorder="1" applyAlignment="1">
      <alignment horizontal="center" vertical="center"/>
    </xf>
    <xf numFmtId="0" fontId="12" fillId="0" borderId="442" xfId="0" applyNumberFormat="1" applyFont="1" applyBorder="1" applyAlignment="1">
      <alignment horizontal="center" vertical="center"/>
    </xf>
    <xf numFmtId="0" fontId="3" fillId="0" borderId="25" xfId="0" applyFont="1" applyFill="1" applyBorder="1" applyAlignment="1">
      <alignment horizontal="center" vertical="center"/>
    </xf>
    <xf numFmtId="195" fontId="12" fillId="0" borderId="25" xfId="0" applyNumberFormat="1" applyFont="1" applyBorder="1" applyAlignment="1">
      <alignment vertical="center"/>
    </xf>
    <xf numFmtId="195" fontId="12" fillId="0" borderId="31" xfId="0" applyNumberFormat="1" applyFont="1" applyBorder="1" applyAlignment="1">
      <alignment vertical="center"/>
    </xf>
    <xf numFmtId="178" fontId="12" fillId="0" borderId="33" xfId="0" applyNumberFormat="1" applyFont="1" applyBorder="1" applyAlignment="1">
      <alignment horizontal="right" vertical="center" indent="3"/>
    </xf>
    <xf numFmtId="178" fontId="12" fillId="0" borderId="447" xfId="0" applyNumberFormat="1" applyFont="1" applyBorder="1" applyAlignment="1">
      <alignment horizontal="right" vertical="center" indent="3"/>
    </xf>
    <xf numFmtId="165" fontId="4" fillId="0" borderId="259" xfId="0" applyNumberFormat="1" applyFont="1" applyFill="1" applyBorder="1" applyAlignment="1">
      <alignment horizontal="center" vertical="center"/>
    </xf>
    <xf numFmtId="3" fontId="5" fillId="0" borderId="108" xfId="0" applyNumberFormat="1" applyFont="1" applyFill="1" applyBorder="1" applyAlignment="1">
      <alignment horizontal="center" vertical="center"/>
    </xf>
    <xf numFmtId="165" fontId="5" fillId="0" borderId="280" xfId="1" applyNumberFormat="1" applyFont="1" applyFill="1" applyBorder="1" applyAlignment="1" applyProtection="1">
      <alignment horizontal="center" vertical="center"/>
    </xf>
    <xf numFmtId="3" fontId="4" fillId="6" borderId="266" xfId="0" applyNumberFormat="1" applyFont="1" applyFill="1" applyBorder="1" applyAlignment="1">
      <alignment horizontal="center" vertical="center"/>
    </xf>
    <xf numFmtId="3" fontId="7" fillId="5" borderId="46" xfId="0" applyNumberFormat="1" applyFont="1" applyFill="1" applyBorder="1" applyAlignment="1">
      <alignment horizontal="center" vertical="center"/>
    </xf>
    <xf numFmtId="3" fontId="63" fillId="5" borderId="46" xfId="0" applyNumberFormat="1" applyFont="1" applyFill="1" applyBorder="1" applyAlignment="1">
      <alignment horizontal="center" vertical="center"/>
    </xf>
    <xf numFmtId="3" fontId="7" fillId="5" borderId="279" xfId="0" applyNumberFormat="1" applyFont="1" applyFill="1" applyBorder="1" applyAlignment="1">
      <alignment horizontal="center" vertical="center"/>
    </xf>
    <xf numFmtId="165" fontId="4" fillId="0" borderId="402" xfId="0" applyNumberFormat="1" applyFont="1" applyFill="1" applyBorder="1" applyAlignment="1">
      <alignment horizontal="center" vertical="center"/>
    </xf>
    <xf numFmtId="165" fontId="4" fillId="0" borderId="300" xfId="0" applyNumberFormat="1" applyFont="1" applyFill="1" applyBorder="1" applyAlignment="1">
      <alignment horizontal="center" vertical="center"/>
    </xf>
    <xf numFmtId="165" fontId="64" fillId="0" borderId="300" xfId="0" applyNumberFormat="1" applyFont="1" applyFill="1" applyBorder="1" applyAlignment="1">
      <alignment horizontal="center" vertical="center"/>
    </xf>
    <xf numFmtId="165" fontId="4" fillId="0" borderId="230" xfId="0" applyNumberFormat="1" applyFont="1" applyFill="1" applyBorder="1" applyAlignment="1">
      <alignment horizontal="center" vertical="center"/>
    </xf>
    <xf numFmtId="0" fontId="3" fillId="0" borderId="167" xfId="0" applyNumberFormat="1" applyFont="1" applyBorder="1" applyAlignment="1">
      <alignment horizontal="center" vertical="center" wrapText="1"/>
    </xf>
    <xf numFmtId="0" fontId="3" fillId="0" borderId="380" xfId="0" applyNumberFormat="1" applyFont="1" applyBorder="1" applyAlignment="1">
      <alignment horizontal="center" vertical="center" wrapText="1"/>
    </xf>
    <xf numFmtId="0" fontId="3" fillId="0" borderId="396" xfId="0" applyNumberFormat="1" applyFont="1" applyBorder="1" applyAlignment="1">
      <alignment horizontal="center" vertical="center" wrapText="1"/>
    </xf>
    <xf numFmtId="1" fontId="3" fillId="0" borderId="121" xfId="0" applyNumberFormat="1" applyFont="1" applyBorder="1" applyAlignment="1">
      <alignment horizontal="center" vertical="center" wrapText="1"/>
    </xf>
    <xf numFmtId="0" fontId="57" fillId="0" borderId="449" xfId="0" applyFont="1" applyBorder="1" applyAlignment="1">
      <alignment vertical="center" wrapText="1"/>
    </xf>
    <xf numFmtId="0" fontId="21" fillId="0" borderId="449" xfId="0" applyFont="1" applyBorder="1" applyAlignment="1">
      <alignment vertical="center"/>
    </xf>
    <xf numFmtId="0" fontId="12" fillId="0" borderId="449" xfId="0" applyFont="1" applyBorder="1" applyAlignment="1">
      <alignment vertical="center"/>
    </xf>
    <xf numFmtId="1" fontId="3" fillId="0" borderId="450" xfId="0" applyNumberFormat="1" applyFont="1" applyBorder="1" applyAlignment="1">
      <alignment horizontal="center" vertical="center" wrapText="1"/>
    </xf>
    <xf numFmtId="3" fontId="5" fillId="0" borderId="266" xfId="0" applyNumberFormat="1" applyFont="1" applyFill="1" applyBorder="1" applyAlignment="1">
      <alignment horizontal="center" vertical="center"/>
    </xf>
    <xf numFmtId="3" fontId="4" fillId="5" borderId="266" xfId="0" applyNumberFormat="1" applyFont="1" applyFill="1" applyBorder="1" applyAlignment="1">
      <alignment horizontal="center" vertical="center"/>
    </xf>
    <xf numFmtId="165" fontId="4" fillId="15" borderId="46" xfId="0" applyNumberFormat="1" applyFont="1" applyFill="1" applyBorder="1" applyAlignment="1">
      <alignment horizontal="center" vertical="center"/>
    </xf>
    <xf numFmtId="3" fontId="4" fillId="5" borderId="279" xfId="0" applyNumberFormat="1" applyFont="1" applyFill="1" applyBorder="1" applyAlignment="1">
      <alignment horizontal="center" vertical="center"/>
    </xf>
    <xf numFmtId="3" fontId="4" fillId="0" borderId="46" xfId="0" applyNumberFormat="1" applyFont="1" applyFill="1" applyBorder="1" applyAlignment="1">
      <alignment horizontal="center" vertical="center"/>
    </xf>
    <xf numFmtId="3" fontId="5" fillId="0" borderId="234" xfId="0" applyNumberFormat="1" applyFont="1" applyFill="1" applyBorder="1" applyAlignment="1" applyProtection="1">
      <alignment horizontal="center" vertical="center"/>
    </xf>
    <xf numFmtId="3" fontId="4" fillId="5" borderId="32" xfId="0" applyNumberFormat="1" applyFont="1" applyFill="1" applyBorder="1" applyAlignment="1">
      <alignment horizontal="center" vertical="center"/>
    </xf>
    <xf numFmtId="165" fontId="13" fillId="0" borderId="234" xfId="0" applyNumberFormat="1" applyFont="1" applyFill="1" applyBorder="1" applyAlignment="1">
      <alignment horizontal="center" vertical="center"/>
    </xf>
    <xf numFmtId="3" fontId="63" fillId="5" borderId="279" xfId="0" applyNumberFormat="1" applyFont="1" applyFill="1" applyBorder="1" applyAlignment="1">
      <alignment horizontal="center" vertical="center"/>
    </xf>
    <xf numFmtId="165" fontId="4" fillId="5" borderId="86" xfId="0" applyNumberFormat="1" applyFont="1" applyFill="1" applyBorder="1" applyAlignment="1">
      <alignment horizontal="center" vertical="center"/>
    </xf>
    <xf numFmtId="3" fontId="7" fillId="5" borderId="0" xfId="0" applyNumberFormat="1" applyFont="1" applyFill="1" applyBorder="1" applyAlignment="1">
      <alignment horizontal="center" vertical="center"/>
    </xf>
    <xf numFmtId="3" fontId="63" fillId="5" borderId="0" xfId="0" applyNumberFormat="1" applyFont="1" applyFill="1" applyBorder="1" applyAlignment="1">
      <alignment horizontal="center" vertical="center"/>
    </xf>
    <xf numFmtId="3" fontId="5" fillId="0" borderId="86" xfId="0" applyNumberFormat="1" applyFont="1" applyFill="1" applyBorder="1" applyAlignment="1">
      <alignment horizontal="center" vertical="center"/>
    </xf>
    <xf numFmtId="3" fontId="4" fillId="5" borderId="119" xfId="0" applyNumberFormat="1" applyFont="1" applyFill="1" applyBorder="1" applyAlignment="1">
      <alignment horizontal="center" vertical="center"/>
    </xf>
    <xf numFmtId="3" fontId="4" fillId="5" borderId="0" xfId="0" applyNumberFormat="1" applyFont="1" applyFill="1" applyBorder="1" applyAlignment="1">
      <alignment horizontal="center" vertical="center"/>
    </xf>
    <xf numFmtId="165" fontId="4" fillId="15" borderId="0" xfId="0" applyNumberFormat="1" applyFont="1" applyFill="1" applyBorder="1" applyAlignment="1">
      <alignment horizontal="center" vertical="center"/>
    </xf>
    <xf numFmtId="3" fontId="4" fillId="5" borderId="75" xfId="0" applyNumberFormat="1" applyFont="1" applyFill="1" applyBorder="1" applyAlignment="1">
      <alignment horizontal="center" vertical="center"/>
    </xf>
    <xf numFmtId="165" fontId="4" fillId="0" borderId="453" xfId="0" applyNumberFormat="1" applyFont="1" applyFill="1" applyBorder="1" applyAlignment="1">
      <alignment horizontal="center" vertical="center"/>
    </xf>
    <xf numFmtId="3" fontId="5" fillId="0" borderId="77" xfId="0" applyNumberFormat="1" applyFont="1" applyFill="1" applyBorder="1" applyAlignment="1" applyProtection="1">
      <alignment horizontal="center" vertical="center"/>
    </xf>
    <xf numFmtId="3" fontId="4" fillId="5" borderId="19" xfId="0" applyNumberFormat="1" applyFont="1" applyFill="1" applyBorder="1" applyAlignment="1">
      <alignment horizontal="center" vertical="center"/>
    </xf>
    <xf numFmtId="165" fontId="5" fillId="0" borderId="86" xfId="1" applyNumberFormat="1" applyFont="1" applyFill="1" applyBorder="1" applyAlignment="1" applyProtection="1">
      <alignment horizontal="center" vertical="center"/>
    </xf>
    <xf numFmtId="165" fontId="13" fillId="0" borderId="77" xfId="0" applyNumberFormat="1" applyFont="1" applyFill="1" applyBorder="1" applyAlignment="1">
      <alignment horizontal="center" vertical="center"/>
    </xf>
    <xf numFmtId="165" fontId="13" fillId="0" borderId="77" xfId="0" applyNumberFormat="1" applyFont="1" applyBorder="1" applyAlignment="1">
      <alignment horizontal="center" vertical="center"/>
    </xf>
    <xf numFmtId="3" fontId="63" fillId="5" borderId="454" xfId="0" applyNumberFormat="1" applyFont="1" applyFill="1" applyBorder="1" applyAlignment="1">
      <alignment horizontal="center" vertical="center"/>
    </xf>
    <xf numFmtId="0" fontId="26" fillId="0" borderId="39" xfId="0" applyNumberFormat="1" applyFont="1" applyFill="1" applyBorder="1" applyAlignment="1">
      <alignment horizontal="center" vertical="center" wrapText="1"/>
    </xf>
    <xf numFmtId="165" fontId="4" fillId="0" borderId="39" xfId="0" applyNumberFormat="1" applyFont="1" applyFill="1" applyBorder="1" applyAlignment="1">
      <alignment horizontal="center" vertical="center"/>
    </xf>
    <xf numFmtId="3" fontId="7" fillId="0" borderId="39" xfId="0" applyNumberFormat="1" applyFont="1" applyFill="1" applyBorder="1" applyAlignment="1">
      <alignment horizontal="center" vertical="center"/>
    </xf>
    <xf numFmtId="3" fontId="63" fillId="0" borderId="39" xfId="0" applyNumberFormat="1" applyFont="1" applyFill="1" applyBorder="1" applyAlignment="1">
      <alignment horizontal="center" vertical="center"/>
    </xf>
    <xf numFmtId="3" fontId="5" fillId="0" borderId="39" xfId="0" applyNumberFormat="1" applyFont="1" applyFill="1" applyBorder="1" applyAlignment="1">
      <alignment horizontal="center" vertical="center"/>
    </xf>
    <xf numFmtId="3" fontId="4" fillId="0" borderId="39" xfId="0" applyNumberFormat="1" applyFont="1" applyFill="1" applyBorder="1" applyAlignment="1">
      <alignment horizontal="center" vertical="center"/>
    </xf>
    <xf numFmtId="3" fontId="5" fillId="0" borderId="39" xfId="0" applyNumberFormat="1" applyFont="1" applyFill="1" applyBorder="1" applyAlignment="1" applyProtection="1">
      <alignment horizontal="center" vertical="center"/>
    </xf>
    <xf numFmtId="165" fontId="5" fillId="0" borderId="39" xfId="1" applyNumberFormat="1" applyFont="1" applyFill="1" applyBorder="1" applyAlignment="1" applyProtection="1">
      <alignment horizontal="center" vertical="center"/>
    </xf>
    <xf numFmtId="165" fontId="13" fillId="0" borderId="39" xfId="0" applyNumberFormat="1" applyFont="1" applyFill="1" applyBorder="1" applyAlignment="1">
      <alignment horizontal="center" vertical="center"/>
    </xf>
    <xf numFmtId="1" fontId="5" fillId="0" borderId="456" xfId="0" applyNumberFormat="1" applyFont="1" applyFill="1" applyBorder="1" applyAlignment="1">
      <alignment horizontal="center" vertical="center"/>
    </xf>
    <xf numFmtId="165" fontId="12" fillId="0" borderId="456" xfId="0" applyNumberFormat="1" applyFont="1" applyBorder="1" applyAlignment="1">
      <alignment horizontal="center" vertical="center"/>
    </xf>
    <xf numFmtId="0" fontId="12" fillId="0" borderId="456" xfId="0" applyFont="1" applyBorder="1" applyAlignment="1">
      <alignment horizontal="center" vertical="center"/>
    </xf>
    <xf numFmtId="3" fontId="12" fillId="0" borderId="456" xfId="0" applyNumberFormat="1" applyFont="1" applyBorder="1" applyAlignment="1">
      <alignment horizontal="center" vertical="center"/>
    </xf>
    <xf numFmtId="165" fontId="12" fillId="0" borderId="455" xfId="0" applyNumberFormat="1" applyFont="1" applyBorder="1" applyAlignment="1">
      <alignment horizontal="center" vertical="center"/>
    </xf>
    <xf numFmtId="165" fontId="12" fillId="0" borderId="364" xfId="0" applyNumberFormat="1" applyFont="1" applyBorder="1" applyAlignment="1">
      <alignment horizontal="center" vertical="center"/>
    </xf>
    <xf numFmtId="0" fontId="12" fillId="0" borderId="364" xfId="0" applyFont="1" applyBorder="1" applyAlignment="1">
      <alignment horizontal="center" vertical="center"/>
    </xf>
    <xf numFmtId="3" fontId="12" fillId="0" borderId="364" xfId="0" applyNumberFormat="1" applyFont="1" applyBorder="1" applyAlignment="1">
      <alignment horizontal="center" vertical="center"/>
    </xf>
    <xf numFmtId="165" fontId="12" fillId="0" borderId="457" xfId="0" applyNumberFormat="1" applyFont="1" applyBorder="1" applyAlignment="1">
      <alignment horizontal="center" vertical="center"/>
    </xf>
    <xf numFmtId="1" fontId="5" fillId="0" borderId="20" xfId="0" applyNumberFormat="1" applyFont="1" applyFill="1" applyBorder="1" applyAlignment="1">
      <alignment horizontal="center" vertical="center"/>
    </xf>
    <xf numFmtId="183" fontId="47" fillId="0" borderId="33" xfId="0" applyNumberFormat="1" applyFont="1" applyFill="1" applyBorder="1" applyAlignment="1">
      <alignment horizontal="center" vertical="center"/>
    </xf>
    <xf numFmtId="183" fontId="47" fillId="0" borderId="276" xfId="0" applyNumberFormat="1" applyFont="1" applyFill="1" applyBorder="1" applyAlignment="1">
      <alignment horizontal="center" vertical="center"/>
    </xf>
    <xf numFmtId="172" fontId="12" fillId="0" borderId="30" xfId="2" applyNumberFormat="1" applyFont="1" applyBorder="1" applyAlignment="1">
      <alignment horizontal="center" vertical="center"/>
    </xf>
    <xf numFmtId="165" fontId="4" fillId="15" borderId="253" xfId="0" applyNumberFormat="1" applyFont="1" applyFill="1" applyBorder="1" applyAlignment="1">
      <alignment horizontal="center" vertical="center"/>
    </xf>
    <xf numFmtId="165" fontId="104" fillId="15" borderId="253" xfId="0" applyNumberFormat="1" applyFont="1" applyFill="1" applyBorder="1" applyAlignment="1">
      <alignment horizontal="center" vertical="center"/>
    </xf>
    <xf numFmtId="184" fontId="5" fillId="0" borderId="44" xfId="1" applyNumberFormat="1" applyFont="1" applyFill="1" applyBorder="1" applyAlignment="1" applyProtection="1">
      <alignment vertical="center"/>
    </xf>
    <xf numFmtId="165" fontId="4" fillId="15" borderId="44" xfId="0" applyNumberFormat="1" applyFont="1" applyFill="1" applyBorder="1" applyAlignment="1">
      <alignment horizontal="center" vertical="center"/>
    </xf>
    <xf numFmtId="165" fontId="104" fillId="15" borderId="290" xfId="0" applyNumberFormat="1" applyFont="1" applyFill="1" applyBorder="1" applyAlignment="1">
      <alignment horizontal="center" vertical="center"/>
    </xf>
    <xf numFmtId="184" fontId="4" fillId="0" borderId="21" xfId="0" applyNumberFormat="1" applyFont="1" applyFill="1" applyBorder="1" applyAlignment="1">
      <alignment vertical="center"/>
    </xf>
    <xf numFmtId="185" fontId="4" fillId="8" borderId="94" xfId="1" applyNumberFormat="1" applyFont="1" applyFill="1" applyBorder="1" applyAlignment="1" applyProtection="1">
      <alignment vertical="center"/>
      <protection locked="0"/>
    </xf>
    <xf numFmtId="185" fontId="4" fillId="8" borderId="253" xfId="1" applyNumberFormat="1" applyFont="1" applyFill="1" applyBorder="1" applyAlignment="1" applyProtection="1">
      <alignment vertical="center"/>
      <protection locked="0"/>
    </xf>
    <xf numFmtId="185" fontId="4" fillId="8" borderId="290" xfId="1" applyNumberFormat="1" applyFont="1" applyFill="1" applyBorder="1" applyAlignment="1" applyProtection="1">
      <alignment vertical="center"/>
      <protection locked="0"/>
    </xf>
    <xf numFmtId="184" fontId="5" fillId="0" borderId="217" xfId="1" applyNumberFormat="1" applyFont="1" applyFill="1" applyBorder="1" applyAlignment="1" applyProtection="1">
      <alignment vertical="center"/>
    </xf>
    <xf numFmtId="193" fontId="4" fillId="5" borderId="13" xfId="0" applyNumberFormat="1" applyFont="1" applyFill="1" applyBorder="1" applyAlignment="1">
      <alignment horizontal="center" vertical="center"/>
    </xf>
    <xf numFmtId="0" fontId="12" fillId="0" borderId="0" xfId="0" applyFont="1" applyAlignment="1">
      <alignment horizontal="left" vertical="center"/>
    </xf>
    <xf numFmtId="9" fontId="12" fillId="6" borderId="13" xfId="2" applyFont="1" applyFill="1" applyBorder="1" applyAlignment="1">
      <alignment horizontal="center" vertical="center"/>
    </xf>
    <xf numFmtId="0" fontId="12" fillId="6" borderId="0" xfId="0" applyFont="1" applyFill="1" applyAlignment="1">
      <alignment horizontal="center" vertical="center"/>
    </xf>
    <xf numFmtId="3" fontId="12" fillId="4" borderId="0" xfId="0" applyNumberFormat="1" applyFont="1" applyFill="1" applyBorder="1" applyAlignment="1" applyProtection="1">
      <alignment vertical="center"/>
      <protection locked="0"/>
    </xf>
    <xf numFmtId="194" fontId="12" fillId="4" borderId="0" xfId="0" applyNumberFormat="1" applyFont="1" applyFill="1" applyBorder="1" applyAlignment="1" applyProtection="1">
      <alignment vertical="center"/>
      <protection locked="0"/>
    </xf>
    <xf numFmtId="3" fontId="4" fillId="8" borderId="29" xfId="0" applyNumberFormat="1" applyFont="1" applyFill="1" applyBorder="1" applyAlignment="1">
      <alignment horizontal="center" vertical="center"/>
    </xf>
    <xf numFmtId="165" fontId="5" fillId="0" borderId="30" xfId="1" applyNumberFormat="1" applyFont="1" applyFill="1" applyBorder="1" applyAlignment="1" applyProtection="1">
      <alignment horizontal="center" vertical="center"/>
    </xf>
    <xf numFmtId="3" fontId="12" fillId="8" borderId="226" xfId="0" applyNumberFormat="1" applyFont="1" applyFill="1" applyBorder="1" applyAlignment="1">
      <alignment horizontal="center" vertical="center"/>
    </xf>
    <xf numFmtId="3" fontId="12" fillId="8" borderId="143" xfId="0" applyNumberFormat="1" applyFont="1" applyFill="1" applyBorder="1" applyAlignment="1">
      <alignment horizontal="center" vertical="center"/>
    </xf>
    <xf numFmtId="3" fontId="4" fillId="8" borderId="143" xfId="0" applyNumberFormat="1" applyFont="1" applyFill="1" applyBorder="1" applyAlignment="1">
      <alignment horizontal="center" vertical="center"/>
    </xf>
    <xf numFmtId="3" fontId="31" fillId="8" borderId="143" xfId="0" applyNumberFormat="1" applyFont="1" applyFill="1" applyBorder="1" applyAlignment="1">
      <alignment horizontal="center" vertical="center"/>
    </xf>
    <xf numFmtId="3" fontId="4" fillId="8" borderId="460" xfId="0" applyNumberFormat="1" applyFont="1" applyFill="1" applyBorder="1" applyAlignment="1">
      <alignment horizontal="center" vertical="center"/>
    </xf>
    <xf numFmtId="3" fontId="5" fillId="0" borderId="276" xfId="0" applyNumberFormat="1" applyFont="1" applyFill="1" applyBorder="1" applyAlignment="1">
      <alignment horizontal="center" vertical="center"/>
    </xf>
    <xf numFmtId="3" fontId="56" fillId="8" borderId="143" xfId="0" applyNumberFormat="1" applyFont="1" applyFill="1" applyBorder="1" applyAlignment="1">
      <alignment horizontal="center" vertical="center"/>
    </xf>
    <xf numFmtId="3" fontId="12" fillId="8" borderId="461" xfId="0" applyNumberFormat="1" applyFont="1" applyFill="1" applyBorder="1" applyAlignment="1">
      <alignment horizontal="center" vertical="center"/>
    </xf>
    <xf numFmtId="3" fontId="5" fillId="0" borderId="462" xfId="1" applyNumberFormat="1" applyFont="1" applyFill="1" applyBorder="1" applyAlignment="1" applyProtection="1">
      <alignment horizontal="center" vertical="center"/>
    </xf>
    <xf numFmtId="3" fontId="4" fillId="8" borderId="143" xfId="1" applyNumberFormat="1" applyFont="1" applyFill="1" applyBorder="1" applyAlignment="1" applyProtection="1">
      <alignment horizontal="center" vertical="center"/>
    </xf>
    <xf numFmtId="3" fontId="31" fillId="8" borderId="143" xfId="1" applyNumberFormat="1" applyFont="1" applyFill="1" applyBorder="1" applyAlignment="1" applyProtection="1">
      <alignment horizontal="center" vertical="center"/>
    </xf>
    <xf numFmtId="3" fontId="4" fillId="8" borderId="226" xfId="1" applyNumberFormat="1" applyFont="1" applyFill="1" applyBorder="1" applyAlignment="1" applyProtection="1">
      <alignment horizontal="center" vertical="center"/>
    </xf>
    <xf numFmtId="3" fontId="4" fillId="8" borderId="461" xfId="1" applyNumberFormat="1" applyFont="1" applyFill="1" applyBorder="1" applyAlignment="1" applyProtection="1">
      <alignment horizontal="center" vertical="center"/>
    </xf>
    <xf numFmtId="3" fontId="5" fillId="0" borderId="461" xfId="1" applyNumberFormat="1" applyFont="1" applyFill="1" applyBorder="1" applyAlignment="1" applyProtection="1">
      <alignment horizontal="center" vertical="center"/>
    </xf>
    <xf numFmtId="165" fontId="13" fillId="0" borderId="463" xfId="0" applyNumberFormat="1" applyFont="1" applyFill="1" applyBorder="1" applyAlignment="1">
      <alignment horizontal="center" vertical="center"/>
    </xf>
    <xf numFmtId="3" fontId="5" fillId="0" borderId="20" xfId="0" applyNumberFormat="1" applyFont="1" applyFill="1" applyBorder="1" applyAlignment="1">
      <alignment horizontal="center" vertical="center"/>
    </xf>
    <xf numFmtId="3" fontId="5" fillId="0" borderId="20" xfId="0" applyNumberFormat="1" applyFont="1" applyFill="1" applyBorder="1" applyAlignment="1" applyProtection="1">
      <alignment horizontal="center" vertical="center"/>
    </xf>
    <xf numFmtId="165" fontId="4" fillId="0" borderId="46" xfId="0" applyNumberFormat="1" applyFont="1" applyFill="1" applyBorder="1" applyAlignment="1">
      <alignment horizontal="center" vertical="center"/>
    </xf>
    <xf numFmtId="165" fontId="63" fillId="0" borderId="46" xfId="0" applyNumberFormat="1" applyFont="1" applyFill="1" applyBorder="1" applyAlignment="1">
      <alignment horizontal="center" vertical="center"/>
    </xf>
    <xf numFmtId="165" fontId="5" fillId="0" borderId="32" xfId="0" applyNumberFormat="1" applyFont="1" applyFill="1" applyBorder="1" applyAlignment="1">
      <alignment horizontal="center" vertical="center"/>
    </xf>
    <xf numFmtId="165" fontId="5" fillId="0" borderId="150" xfId="1" applyNumberFormat="1" applyFont="1" applyFill="1" applyBorder="1" applyAlignment="1" applyProtection="1">
      <alignment horizontal="center" vertical="center"/>
    </xf>
    <xf numFmtId="3" fontId="4" fillId="15" borderId="143" xfId="1" applyNumberFormat="1" applyFont="1" applyFill="1" applyBorder="1" applyAlignment="1" applyProtection="1">
      <alignment vertical="center"/>
    </xf>
    <xf numFmtId="3" fontId="4" fillId="15" borderId="460" xfId="1" applyNumberFormat="1" applyFont="1" applyFill="1" applyBorder="1" applyAlignment="1" applyProtection="1">
      <alignment vertical="center"/>
    </xf>
    <xf numFmtId="165" fontId="4" fillId="0" borderId="44" xfId="0" applyNumberFormat="1" applyFont="1" applyFill="1" applyBorder="1" applyAlignment="1">
      <alignment horizontal="center" vertical="center"/>
    </xf>
    <xf numFmtId="165" fontId="4" fillId="0" borderId="464" xfId="0" applyNumberFormat="1" applyFont="1" applyFill="1" applyBorder="1" applyAlignment="1">
      <alignment horizontal="center" vertical="center"/>
    </xf>
    <xf numFmtId="3" fontId="4" fillId="8" borderId="465" xfId="0" applyNumberFormat="1" applyFont="1" applyFill="1" applyBorder="1" applyAlignment="1">
      <alignment horizontal="center" vertical="center"/>
    </xf>
    <xf numFmtId="172" fontId="4" fillId="0" borderId="95" xfId="0" applyNumberFormat="1" applyFont="1" applyFill="1" applyBorder="1" applyAlignment="1">
      <alignment horizontal="center" vertical="center"/>
    </xf>
    <xf numFmtId="172" fontId="4" fillId="0" borderId="115" xfId="0" applyNumberFormat="1" applyFont="1" applyFill="1" applyBorder="1" applyAlignment="1">
      <alignment horizontal="center" vertical="center"/>
    </xf>
    <xf numFmtId="172" fontId="4" fillId="0" borderId="386" xfId="0" applyNumberFormat="1" applyFont="1" applyFill="1" applyBorder="1" applyAlignment="1">
      <alignment horizontal="center" vertical="center"/>
    </xf>
    <xf numFmtId="172" fontId="4" fillId="0" borderId="119" xfId="0" applyNumberFormat="1" applyFont="1" applyFill="1" applyBorder="1" applyAlignment="1">
      <alignment horizontal="center" vertical="center"/>
    </xf>
    <xf numFmtId="172" fontId="4" fillId="0" borderId="297" xfId="0" applyNumberFormat="1" applyFont="1" applyFill="1" applyBorder="1" applyAlignment="1">
      <alignment horizontal="center" vertical="center"/>
    </xf>
    <xf numFmtId="172" fontId="4" fillId="8" borderId="122" xfId="0" applyNumberFormat="1" applyFont="1" applyFill="1" applyBorder="1" applyAlignment="1">
      <alignment horizontal="center" vertical="center"/>
    </xf>
    <xf numFmtId="172" fontId="4" fillId="8" borderId="394" xfId="0" applyNumberFormat="1" applyFont="1" applyFill="1" applyBorder="1" applyAlignment="1">
      <alignment horizontal="center" vertical="center"/>
    </xf>
    <xf numFmtId="172" fontId="4" fillId="0" borderId="113" xfId="0" applyNumberFormat="1" applyFont="1" applyFill="1" applyBorder="1" applyAlignment="1">
      <alignment horizontal="center" vertical="center"/>
    </xf>
    <xf numFmtId="172" fontId="4" fillId="0" borderId="116" xfId="0" applyNumberFormat="1" applyFont="1" applyFill="1" applyBorder="1" applyAlignment="1">
      <alignment horizontal="center" vertical="center"/>
    </xf>
    <xf numFmtId="172" fontId="4" fillId="0" borderId="387" xfId="0" applyNumberFormat="1" applyFont="1" applyFill="1" applyBorder="1" applyAlignment="1">
      <alignment horizontal="center" vertical="center"/>
    </xf>
    <xf numFmtId="172" fontId="4" fillId="8" borderId="121" xfId="0" applyNumberFormat="1" applyFont="1" applyFill="1" applyBorder="1" applyAlignment="1">
      <alignment horizontal="center" vertical="center"/>
    </xf>
    <xf numFmtId="172" fontId="4" fillId="8" borderId="143" xfId="0" applyNumberFormat="1" applyFont="1" applyFill="1" applyBorder="1" applyAlignment="1">
      <alignment horizontal="center" vertical="center"/>
    </xf>
    <xf numFmtId="172" fontId="4" fillId="8" borderId="390" xfId="0" applyNumberFormat="1" applyFont="1" applyFill="1" applyBorder="1" applyAlignment="1">
      <alignment horizontal="center" vertical="center"/>
    </xf>
    <xf numFmtId="172" fontId="4" fillId="0" borderId="121" xfId="0" applyNumberFormat="1" applyFont="1" applyFill="1" applyBorder="1" applyAlignment="1">
      <alignment horizontal="center" vertical="center"/>
    </xf>
    <xf numFmtId="172" fontId="63" fillId="0" borderId="121" xfId="0" applyNumberFormat="1" applyFont="1" applyFill="1" applyBorder="1" applyAlignment="1">
      <alignment horizontal="center" vertical="center"/>
    </xf>
    <xf numFmtId="172" fontId="63" fillId="0" borderId="116" xfId="0" applyNumberFormat="1" applyFont="1" applyFill="1" applyBorder="1" applyAlignment="1">
      <alignment horizontal="center" vertical="center"/>
    </xf>
    <xf numFmtId="172" fontId="63" fillId="0" borderId="387" xfId="0" applyNumberFormat="1" applyFont="1" applyFill="1" applyBorder="1" applyAlignment="1">
      <alignment horizontal="center" vertical="center"/>
    </xf>
    <xf numFmtId="172" fontId="63" fillId="8" borderId="121" xfId="0" applyNumberFormat="1" applyFont="1" applyFill="1" applyBorder="1" applyAlignment="1">
      <alignment horizontal="center" vertical="center"/>
    </xf>
    <xf numFmtId="172" fontId="63" fillId="8" borderId="143" xfId="0" applyNumberFormat="1" applyFont="1" applyFill="1" applyBorder="1" applyAlignment="1">
      <alignment horizontal="center" vertical="center"/>
    </xf>
    <xf numFmtId="172" fontId="63" fillId="8" borderId="390" xfId="0" applyNumberFormat="1" applyFont="1" applyFill="1" applyBorder="1" applyAlignment="1">
      <alignment horizontal="center" vertical="center"/>
    </xf>
    <xf numFmtId="172" fontId="4" fillId="4" borderId="121" xfId="0" applyNumberFormat="1" applyFont="1" applyFill="1" applyBorder="1" applyAlignment="1">
      <alignment horizontal="center" vertical="center"/>
    </xf>
    <xf numFmtId="172" fontId="4" fillId="8" borderId="451" xfId="0" applyNumberFormat="1" applyFont="1" applyFill="1" applyBorder="1" applyAlignment="1">
      <alignment horizontal="center" vertical="center"/>
    </xf>
    <xf numFmtId="172" fontId="5" fillId="0" borderId="125" xfId="0" applyNumberFormat="1" applyFont="1" applyFill="1" applyBorder="1" applyAlignment="1">
      <alignment horizontal="center" vertical="center"/>
    </xf>
    <xf numFmtId="172" fontId="5" fillId="0" borderId="104" xfId="0" applyNumberFormat="1" applyFont="1" applyFill="1" applyBorder="1" applyAlignment="1">
      <alignment horizontal="center" vertical="center"/>
    </xf>
    <xf numFmtId="172" fontId="5" fillId="0" borderId="388" xfId="0" applyNumberFormat="1" applyFont="1" applyFill="1" applyBorder="1" applyAlignment="1">
      <alignment horizontal="center" vertical="center"/>
    </xf>
    <xf numFmtId="172" fontId="5" fillId="0" borderId="234" xfId="0" applyNumberFormat="1" applyFont="1" applyFill="1" applyBorder="1" applyAlignment="1">
      <alignment horizontal="center" vertical="center"/>
    </xf>
    <xf numFmtId="172" fontId="5" fillId="0" borderId="77" xfId="0" applyNumberFormat="1" applyFont="1" applyFill="1" applyBorder="1" applyAlignment="1">
      <alignment horizontal="center" vertical="center"/>
    </xf>
    <xf numFmtId="172" fontId="5" fillId="0" borderId="364" xfId="0" applyNumberFormat="1" applyFont="1" applyFill="1" applyBorder="1" applyAlignment="1">
      <alignment horizontal="center" vertical="center"/>
    </xf>
    <xf numFmtId="172" fontId="5" fillId="0" borderId="385" xfId="0" applyNumberFormat="1" applyFont="1" applyFill="1" applyBorder="1" applyAlignment="1">
      <alignment horizontal="center" vertical="center"/>
    </xf>
    <xf numFmtId="172" fontId="7" fillId="0" borderId="121" xfId="0" applyNumberFormat="1" applyFont="1" applyFill="1" applyBorder="1" applyAlignment="1">
      <alignment horizontal="center" vertical="center"/>
    </xf>
    <xf numFmtId="172" fontId="7" fillId="0" borderId="116" xfId="0" applyNumberFormat="1" applyFont="1" applyFill="1" applyBorder="1" applyAlignment="1">
      <alignment horizontal="center" vertical="center"/>
    </xf>
    <xf numFmtId="172" fontId="7" fillId="0" borderId="387" xfId="0" applyNumberFormat="1" applyFont="1" applyFill="1" applyBorder="1" applyAlignment="1">
      <alignment horizontal="center" vertical="center"/>
    </xf>
    <xf numFmtId="172" fontId="4" fillId="8" borderId="116" xfId="0" applyNumberFormat="1" applyFont="1" applyFill="1" applyBorder="1" applyAlignment="1">
      <alignment horizontal="center" vertical="center"/>
    </xf>
    <xf numFmtId="172" fontId="7" fillId="15" borderId="121" xfId="0" applyNumberFormat="1" applyFont="1" applyFill="1" applyBorder="1" applyAlignment="1">
      <alignment horizontal="center" vertical="center"/>
    </xf>
    <xf numFmtId="172" fontId="7" fillId="15" borderId="116" xfId="0" applyNumberFormat="1" applyFont="1" applyFill="1" applyBorder="1" applyAlignment="1">
      <alignment horizontal="center" vertical="center"/>
    </xf>
    <xf numFmtId="172" fontId="7" fillId="15" borderId="387" xfId="0" applyNumberFormat="1" applyFont="1" applyFill="1" applyBorder="1" applyAlignment="1">
      <alignment horizontal="center" vertical="center"/>
    </xf>
    <xf numFmtId="172" fontId="4" fillId="15" borderId="121" xfId="0" applyNumberFormat="1" applyFont="1" applyFill="1" applyBorder="1" applyAlignment="1">
      <alignment horizontal="center" vertical="center"/>
    </xf>
    <xf numFmtId="172" fontId="4" fillId="15" borderId="116" xfId="0" applyNumberFormat="1" applyFont="1" applyFill="1" applyBorder="1" applyAlignment="1">
      <alignment horizontal="center" vertical="center"/>
    </xf>
    <xf numFmtId="172" fontId="4" fillId="15" borderId="390" xfId="0" applyNumberFormat="1" applyFont="1" applyFill="1" applyBorder="1" applyAlignment="1">
      <alignment horizontal="center" vertical="center"/>
    </xf>
    <xf numFmtId="172" fontId="7" fillId="0" borderId="120" xfId="0" applyNumberFormat="1" applyFont="1" applyFill="1" applyBorder="1" applyAlignment="1">
      <alignment horizontal="center" vertical="center"/>
    </xf>
    <xf numFmtId="172" fontId="7" fillId="0" borderId="117" xfId="0" applyNumberFormat="1" applyFont="1" applyFill="1" applyBorder="1" applyAlignment="1">
      <alignment horizontal="center" vertical="center"/>
    </xf>
    <xf numFmtId="172" fontId="7" fillId="0" borderId="389" xfId="0" applyNumberFormat="1" applyFont="1" applyFill="1" applyBorder="1" applyAlignment="1">
      <alignment horizontal="center" vertical="center"/>
    </xf>
    <xf numFmtId="172" fontId="4" fillId="8" borderId="120" xfId="0" applyNumberFormat="1" applyFont="1" applyFill="1" applyBorder="1" applyAlignment="1">
      <alignment horizontal="center" vertical="center"/>
    </xf>
    <xf numFmtId="172" fontId="4" fillId="8" borderId="117" xfId="0" applyNumberFormat="1" applyFont="1" applyFill="1" applyBorder="1" applyAlignment="1">
      <alignment horizontal="center" vertical="center"/>
    </xf>
    <xf numFmtId="172" fontId="4" fillId="8" borderId="395" xfId="0" applyNumberFormat="1" applyFont="1" applyFill="1" applyBorder="1" applyAlignment="1">
      <alignment horizontal="center" vertical="center"/>
    </xf>
    <xf numFmtId="172" fontId="7" fillId="0" borderId="390" xfId="0" applyNumberFormat="1" applyFont="1" applyFill="1" applyBorder="1" applyAlignment="1">
      <alignment horizontal="center" vertical="center"/>
    </xf>
    <xf numFmtId="172" fontId="7" fillId="0" borderId="0" xfId="0" applyNumberFormat="1" applyFont="1" applyFill="1" applyBorder="1" applyAlignment="1">
      <alignment horizontal="center" vertical="center"/>
    </xf>
    <xf numFmtId="172" fontId="7" fillId="0" borderId="419" xfId="0" applyNumberFormat="1" applyFont="1" applyFill="1" applyBorder="1" applyAlignment="1">
      <alignment horizontal="center" vertical="center"/>
    </xf>
    <xf numFmtId="172" fontId="7" fillId="0" borderId="448" xfId="0" applyNumberFormat="1" applyFont="1" applyFill="1" applyBorder="1" applyAlignment="1">
      <alignment horizontal="center" vertical="center"/>
    </xf>
    <xf numFmtId="172" fontId="63" fillId="8" borderId="116" xfId="0" applyNumberFormat="1" applyFont="1" applyFill="1" applyBorder="1" applyAlignment="1">
      <alignment horizontal="center" vertical="center"/>
    </xf>
    <xf numFmtId="172" fontId="104" fillId="15" borderId="121" xfId="0" applyNumberFormat="1" applyFont="1" applyFill="1" applyBorder="1" applyAlignment="1">
      <alignment horizontal="center" vertical="center"/>
    </xf>
    <xf numFmtId="172" fontId="104" fillId="15" borderId="116" xfId="0" applyNumberFormat="1" applyFont="1" applyFill="1" applyBorder="1" applyAlignment="1">
      <alignment horizontal="center" vertical="center"/>
    </xf>
    <xf numFmtId="172" fontId="4" fillId="6" borderId="46" xfId="0" applyNumberFormat="1" applyFont="1" applyFill="1" applyBorder="1" applyAlignment="1">
      <alignment horizontal="center" vertical="center"/>
    </xf>
    <xf numFmtId="172" fontId="4" fillId="6" borderId="121" xfId="0" applyNumberFormat="1" applyFont="1" applyFill="1" applyBorder="1" applyAlignment="1">
      <alignment horizontal="center" vertical="center"/>
    </xf>
    <xf numFmtId="172" fontId="17" fillId="0" borderId="125" xfId="0" applyNumberFormat="1" applyFont="1" applyFill="1" applyBorder="1" applyAlignment="1">
      <alignment horizontal="center" vertical="center"/>
    </xf>
    <xf numFmtId="172" fontId="17" fillId="0" borderId="104" xfId="0" applyNumberFormat="1" applyFont="1" applyFill="1" applyBorder="1" applyAlignment="1">
      <alignment horizontal="center" vertical="center"/>
    </xf>
    <xf numFmtId="172" fontId="17" fillId="0" borderId="388" xfId="0" applyNumberFormat="1" applyFont="1" applyFill="1" applyBorder="1" applyAlignment="1">
      <alignment horizontal="center" vertical="center"/>
    </xf>
    <xf numFmtId="172" fontId="5" fillId="0" borderId="380" xfId="0" applyNumberFormat="1" applyFont="1" applyFill="1" applyBorder="1" applyAlignment="1">
      <alignment horizontal="center" vertical="center"/>
    </xf>
    <xf numFmtId="172" fontId="5" fillId="0" borderId="396" xfId="0" applyNumberFormat="1" applyFont="1" applyFill="1" applyBorder="1" applyAlignment="1">
      <alignment horizontal="center" vertical="center"/>
    </xf>
    <xf numFmtId="172" fontId="4" fillId="8" borderId="0" xfId="0" applyNumberFormat="1" applyFont="1" applyFill="1" applyBorder="1" applyAlignment="1">
      <alignment horizontal="center" vertical="center"/>
    </xf>
    <xf numFmtId="172" fontId="4" fillId="8" borderId="330" xfId="0" applyNumberFormat="1" applyFont="1" applyFill="1" applyBorder="1" applyAlignment="1">
      <alignment horizontal="center" vertical="center"/>
    </xf>
    <xf numFmtId="172" fontId="4" fillId="8" borderId="452" xfId="0" applyNumberFormat="1" applyFont="1" applyFill="1" applyBorder="1" applyAlignment="1">
      <alignment horizontal="center" vertical="center"/>
    </xf>
    <xf numFmtId="172" fontId="17" fillId="0" borderId="120" xfId="0" applyNumberFormat="1" applyFont="1" applyFill="1" applyBorder="1" applyAlignment="1">
      <alignment horizontal="center" vertical="center"/>
    </xf>
    <xf numFmtId="172" fontId="17" fillId="0" borderId="117" xfId="0" applyNumberFormat="1" applyFont="1" applyFill="1" applyBorder="1" applyAlignment="1">
      <alignment horizontal="center" vertical="center"/>
    </xf>
    <xf numFmtId="172" fontId="5" fillId="0" borderId="279" xfId="0" applyNumberFormat="1" applyFont="1" applyFill="1" applyBorder="1" applyAlignment="1">
      <alignment horizontal="center" vertical="center"/>
    </xf>
    <xf numFmtId="172" fontId="5" fillId="0" borderId="395" xfId="0" applyNumberFormat="1" applyFont="1" applyFill="1" applyBorder="1" applyAlignment="1">
      <alignment horizontal="center" vertical="center"/>
    </xf>
    <xf numFmtId="172" fontId="63" fillId="8" borderId="46" xfId="0" applyNumberFormat="1" applyFont="1" applyFill="1" applyBorder="1" applyAlignment="1">
      <alignment horizontal="center" vertical="center"/>
    </xf>
    <xf numFmtId="172" fontId="63" fillId="8" borderId="387" xfId="0" applyNumberFormat="1" applyFont="1" applyFill="1" applyBorder="1" applyAlignment="1">
      <alignment horizontal="center" vertical="center"/>
    </xf>
    <xf numFmtId="172" fontId="7" fillId="0" borderId="391" xfId="0" applyNumberFormat="1" applyFont="1" applyFill="1" applyBorder="1" applyAlignment="1">
      <alignment horizontal="center" vertical="center"/>
    </xf>
    <xf numFmtId="172" fontId="63" fillId="8" borderId="392" xfId="0" applyNumberFormat="1" applyFont="1" applyFill="1" applyBorder="1" applyAlignment="1">
      <alignment horizontal="center" vertical="center"/>
    </xf>
    <xf numFmtId="172" fontId="63" fillId="8" borderId="393" xfId="0" applyNumberFormat="1" applyFont="1" applyFill="1" applyBorder="1" applyAlignment="1">
      <alignment horizontal="center" vertical="center"/>
    </xf>
    <xf numFmtId="172" fontId="63" fillId="8" borderId="397" xfId="0" applyNumberFormat="1" applyFont="1" applyFill="1" applyBorder="1" applyAlignment="1">
      <alignment horizontal="center" vertical="center"/>
    </xf>
    <xf numFmtId="0" fontId="3" fillId="0" borderId="282" xfId="0" applyNumberFormat="1" applyFont="1" applyFill="1" applyBorder="1" applyAlignment="1">
      <alignment horizontal="center" vertical="center" wrapText="1"/>
    </xf>
    <xf numFmtId="0" fontId="3" fillId="0" borderId="234" xfId="0" applyNumberFormat="1" applyFont="1" applyFill="1" applyBorder="1" applyAlignment="1">
      <alignment horizontal="center" vertical="center" wrapText="1"/>
    </xf>
    <xf numFmtId="0" fontId="3" fillId="0" borderId="261" xfId="0" applyNumberFormat="1" applyFont="1" applyFill="1" applyBorder="1" applyAlignment="1">
      <alignment horizontal="center" vertical="center" wrapText="1"/>
    </xf>
    <xf numFmtId="0" fontId="3" fillId="0" borderId="466" xfId="0" applyNumberFormat="1" applyFont="1" applyFill="1" applyBorder="1" applyAlignment="1">
      <alignment horizontal="center" vertical="center" wrapText="1"/>
    </xf>
    <xf numFmtId="172" fontId="12" fillId="0" borderId="25" xfId="0" applyNumberFormat="1" applyFont="1" applyBorder="1" applyAlignment="1">
      <alignment vertical="center"/>
    </xf>
    <xf numFmtId="172" fontId="12" fillId="0" borderId="31" xfId="0" applyNumberFormat="1" applyFont="1" applyBorder="1" applyAlignment="1">
      <alignment vertical="center"/>
    </xf>
    <xf numFmtId="172" fontId="12" fillId="0" borderId="437" xfId="0" applyNumberFormat="1" applyFont="1" applyBorder="1" applyAlignment="1">
      <alignment vertical="center"/>
    </xf>
    <xf numFmtId="0" fontId="4" fillId="0" borderId="22" xfId="0" applyFont="1" applyBorder="1" applyAlignment="1">
      <alignment vertical="center"/>
    </xf>
    <xf numFmtId="0" fontId="69" fillId="0" borderId="0" xfId="0" applyFont="1" applyAlignment="1">
      <alignment vertical="top" wrapText="1"/>
    </xf>
    <xf numFmtId="0" fontId="4" fillId="0" borderId="0" xfId="0" applyFont="1" applyAlignment="1">
      <alignment vertical="center"/>
    </xf>
    <xf numFmtId="0" fontId="4" fillId="0" borderId="0" xfId="0" applyFont="1" applyAlignment="1">
      <alignment horizontal="right" vertical="center" wrapText="1"/>
    </xf>
    <xf numFmtId="0" fontId="7" fillId="0" borderId="0" xfId="0" applyFont="1" applyAlignment="1">
      <alignment horizontal="justify" vertical="center" wrapText="1"/>
    </xf>
    <xf numFmtId="0" fontId="135" fillId="0" borderId="0" xfId="0" applyFont="1" applyAlignment="1">
      <alignment horizontal="justify" vertical="center" wrapText="1"/>
    </xf>
    <xf numFmtId="0" fontId="108" fillId="0" borderId="37" xfId="0" applyFont="1" applyBorder="1" applyAlignment="1">
      <alignment horizontal="center" vertical="center"/>
    </xf>
    <xf numFmtId="0" fontId="108" fillId="0" borderId="86" xfId="0" applyFont="1" applyBorder="1" applyAlignment="1">
      <alignment horizontal="center" vertical="center"/>
    </xf>
    <xf numFmtId="0" fontId="108" fillId="0" borderId="38" xfId="0" applyFont="1" applyBorder="1" applyAlignment="1">
      <alignment horizontal="center" vertical="center"/>
    </xf>
    <xf numFmtId="0" fontId="17" fillId="0" borderId="0" xfId="0" applyFont="1" applyAlignment="1">
      <alignment horizontal="left" vertical="center"/>
    </xf>
    <xf numFmtId="49" fontId="106" fillId="5" borderId="20" xfId="0" applyNumberFormat="1" applyFont="1" applyFill="1" applyBorder="1" applyAlignment="1" applyProtection="1">
      <alignment horizontal="center" vertical="center"/>
      <protection locked="0"/>
    </xf>
    <xf numFmtId="49" fontId="106" fillId="5" borderId="21" xfId="0" applyNumberFormat="1" applyFont="1" applyFill="1" applyBorder="1" applyAlignment="1" applyProtection="1">
      <alignment horizontal="center" vertical="center"/>
      <protection locked="0"/>
    </xf>
    <xf numFmtId="49" fontId="106" fillId="4" borderId="23" xfId="0" applyNumberFormat="1" applyFont="1" applyFill="1" applyBorder="1" applyAlignment="1" applyProtection="1">
      <alignment horizontal="center" vertical="center"/>
      <protection locked="0"/>
    </xf>
    <xf numFmtId="49" fontId="106" fillId="4" borderId="20" xfId="0" applyNumberFormat="1" applyFont="1" applyFill="1" applyBorder="1" applyAlignment="1" applyProtection="1">
      <alignment horizontal="center" vertical="center"/>
      <protection locked="0"/>
    </xf>
    <xf numFmtId="49" fontId="106" fillId="4" borderId="21" xfId="0" applyNumberFormat="1" applyFont="1" applyFill="1" applyBorder="1" applyAlignment="1" applyProtection="1">
      <alignment horizontal="center" vertical="center"/>
      <protection locked="0"/>
    </xf>
    <xf numFmtId="0" fontId="11" fillId="7" borderId="151" xfId="0" applyFont="1" applyFill="1" applyBorder="1" applyAlignment="1">
      <alignment horizontal="center" vertical="center"/>
    </xf>
    <xf numFmtId="0" fontId="11" fillId="7" borderId="173" xfId="0" applyFont="1" applyFill="1" applyBorder="1" applyAlignment="1">
      <alignment horizontal="center" vertical="center"/>
    </xf>
    <xf numFmtId="0" fontId="15" fillId="7" borderId="434" xfId="0" applyFont="1" applyFill="1" applyBorder="1" applyAlignment="1">
      <alignment horizontal="center" vertical="center"/>
    </xf>
    <xf numFmtId="0" fontId="15" fillId="7" borderId="435" xfId="0" applyFont="1" applyFill="1" applyBorder="1" applyAlignment="1">
      <alignment horizontal="center" vertical="center"/>
    </xf>
    <xf numFmtId="0" fontId="0" fillId="0" borderId="435" xfId="0" applyBorder="1" applyAlignment="1">
      <alignment horizontal="center" vertical="center"/>
    </xf>
    <xf numFmtId="0" fontId="0" fillId="0" borderId="436" xfId="0" applyBorder="1" applyAlignment="1">
      <alignment horizontal="center" vertical="center"/>
    </xf>
    <xf numFmtId="0" fontId="7" fillId="0" borderId="0" xfId="0" applyFont="1" applyAlignment="1">
      <alignment horizontal="left" vertical="center" wrapText="1"/>
    </xf>
    <xf numFmtId="0" fontId="15" fillId="7" borderId="436" xfId="0" applyFont="1" applyFill="1" applyBorder="1" applyAlignment="1">
      <alignment horizontal="center" vertical="center"/>
    </xf>
    <xf numFmtId="3" fontId="4" fillId="15" borderId="23" xfId="1" applyNumberFormat="1" applyFont="1" applyFill="1" applyBorder="1" applyAlignment="1" applyProtection="1">
      <alignment horizontal="center" vertical="center"/>
    </xf>
    <xf numFmtId="3" fontId="4" fillId="15" borderId="20" xfId="1" applyNumberFormat="1" applyFont="1" applyFill="1" applyBorder="1" applyAlignment="1" applyProtection="1">
      <alignment horizontal="center" vertical="center"/>
    </xf>
    <xf numFmtId="3" fontId="4" fillId="15" borderId="21" xfId="1" applyNumberFormat="1" applyFont="1" applyFill="1" applyBorder="1" applyAlignment="1" applyProtection="1">
      <alignment horizontal="center" vertical="center"/>
    </xf>
    <xf numFmtId="0" fontId="138" fillId="0" borderId="0" xfId="0" applyFont="1" applyFill="1" applyBorder="1" applyAlignment="1">
      <alignment horizontal="left" vertical="center" wrapText="1"/>
    </xf>
    <xf numFmtId="0" fontId="143" fillId="7" borderId="434" xfId="0" applyFont="1" applyFill="1" applyBorder="1" applyAlignment="1">
      <alignment horizontal="center" vertical="center"/>
    </xf>
    <xf numFmtId="0" fontId="143" fillId="7" borderId="435" xfId="0" applyFont="1" applyFill="1" applyBorder="1" applyAlignment="1">
      <alignment horizontal="center" vertical="center"/>
    </xf>
    <xf numFmtId="0" fontId="143" fillId="7" borderId="436" xfId="0" applyFont="1" applyFill="1" applyBorder="1" applyAlignment="1">
      <alignment horizontal="center" vertical="center"/>
    </xf>
    <xf numFmtId="0" fontId="69" fillId="0" borderId="0" xfId="0" applyFont="1" applyAlignment="1">
      <alignment horizontal="left" vertical="top" wrapText="1"/>
    </xf>
    <xf numFmtId="0" fontId="138" fillId="0" borderId="0" xfId="0" applyFont="1" applyFill="1" applyBorder="1" applyAlignment="1">
      <alignment horizontal="left" vertical="center" wrapText="1" indent="1"/>
    </xf>
    <xf numFmtId="0" fontId="138" fillId="0" borderId="0" xfId="0" applyFont="1" applyFill="1" applyBorder="1" applyAlignment="1">
      <alignment horizontal="left" wrapText="1" indent="1"/>
    </xf>
    <xf numFmtId="49" fontId="4" fillId="4" borderId="0" xfId="0" applyNumberFormat="1" applyFont="1" applyFill="1" applyBorder="1" applyAlignment="1" applyProtection="1">
      <alignment horizontal="center" vertical="center"/>
      <protection locked="0"/>
    </xf>
    <xf numFmtId="10" fontId="4" fillId="4" borderId="0" xfId="2"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4" fillId="0" borderId="0" xfId="0" applyFont="1" applyAlignment="1">
      <alignment horizontal="left" vertical="center"/>
    </xf>
    <xf numFmtId="0" fontId="15" fillId="2" borderId="214" xfId="0" applyFont="1" applyFill="1" applyBorder="1" applyAlignment="1">
      <alignment horizontal="center" vertical="center"/>
    </xf>
    <xf numFmtId="0" fontId="15" fillId="2" borderId="240" xfId="0" applyFont="1" applyFill="1" applyBorder="1" applyAlignment="1">
      <alignment horizontal="center" vertical="center"/>
    </xf>
    <xf numFmtId="0" fontId="15" fillId="2" borderId="216" xfId="0" applyFont="1" applyFill="1" applyBorder="1" applyAlignment="1">
      <alignment horizontal="center" vertical="center"/>
    </xf>
    <xf numFmtId="49" fontId="12" fillId="4" borderId="0" xfId="0" applyNumberFormat="1" applyFont="1" applyFill="1" applyBorder="1" applyAlignment="1" applyProtection="1">
      <alignment horizontal="center" vertical="center"/>
      <protection locked="0"/>
    </xf>
    <xf numFmtId="0" fontId="12" fillId="4" borderId="0" xfId="0" applyNumberFormat="1" applyFont="1" applyFill="1" applyBorder="1" applyAlignment="1" applyProtection="1">
      <alignment horizontal="center" vertical="center"/>
      <protection locked="0"/>
    </xf>
    <xf numFmtId="180" fontId="12" fillId="4" borderId="0" xfId="0" applyNumberFormat="1" applyFont="1" applyFill="1" applyBorder="1" applyAlignment="1" applyProtection="1">
      <alignment horizontal="center" vertical="center"/>
      <protection locked="0"/>
    </xf>
    <xf numFmtId="0" fontId="12" fillId="0" borderId="0" xfId="0" applyFont="1" applyAlignment="1">
      <alignment horizontal="left" vertical="center"/>
    </xf>
    <xf numFmtId="0" fontId="12" fillId="0" borderId="0" xfId="0" applyFont="1" applyAlignment="1">
      <alignment horizontal="left" vertical="center" wrapText="1"/>
    </xf>
    <xf numFmtId="192" fontId="17" fillId="0" borderId="0" xfId="0" applyNumberFormat="1" applyFont="1" applyAlignment="1">
      <alignment horizontal="center" vertical="center"/>
    </xf>
    <xf numFmtId="0" fontId="78" fillId="2" borderId="214" xfId="0" applyFont="1" applyFill="1" applyBorder="1" applyAlignment="1">
      <alignment horizontal="center" vertical="center"/>
    </xf>
    <xf numFmtId="0" fontId="78" fillId="2" borderId="240" xfId="0" applyFont="1" applyFill="1" applyBorder="1" applyAlignment="1">
      <alignment horizontal="center" vertical="center"/>
    </xf>
    <xf numFmtId="0" fontId="78" fillId="2" borderId="216" xfId="0" applyFont="1" applyFill="1" applyBorder="1" applyAlignment="1">
      <alignment horizontal="center" vertical="center"/>
    </xf>
    <xf numFmtId="0" fontId="4" fillId="0" borderId="0" xfId="0" applyFont="1" applyAlignment="1">
      <alignment vertical="center"/>
    </xf>
    <xf numFmtId="49" fontId="5" fillId="4" borderId="0" xfId="0" applyNumberFormat="1" applyFont="1" applyFill="1" applyBorder="1" applyAlignment="1" applyProtection="1">
      <alignment horizontal="center" vertical="center"/>
      <protection locked="0"/>
    </xf>
    <xf numFmtId="0" fontId="7" fillId="0" borderId="0" xfId="0" applyFont="1" applyAlignment="1">
      <alignment horizontal="right" vertical="center"/>
    </xf>
    <xf numFmtId="0" fontId="21" fillId="0" borderId="12" xfId="0" applyFont="1" applyBorder="1" applyAlignment="1">
      <alignment horizontal="right" vertical="center"/>
    </xf>
    <xf numFmtId="0" fontId="4" fillId="0" borderId="0" xfId="0" applyFont="1" applyAlignment="1">
      <alignment horizontal="right" vertical="center"/>
    </xf>
    <xf numFmtId="0" fontId="12" fillId="0" borderId="0" xfId="0" applyFont="1" applyAlignment="1">
      <alignment horizontal="right" vertical="center"/>
    </xf>
    <xf numFmtId="0" fontId="35" fillId="0" borderId="240" xfId="0" applyFont="1" applyBorder="1" applyAlignment="1">
      <alignment horizontal="center" vertical="center"/>
    </xf>
    <xf numFmtId="0" fontId="21" fillId="0" borderId="240" xfId="0" applyFont="1" applyBorder="1" applyAlignment="1">
      <alignment horizontal="center" vertical="center"/>
    </xf>
    <xf numFmtId="0" fontId="12" fillId="0" borderId="12" xfId="0" applyFont="1" applyBorder="1" applyAlignment="1">
      <alignment horizontal="right" vertical="center"/>
    </xf>
    <xf numFmtId="0" fontId="21" fillId="0" borderId="0" xfId="0" applyFont="1" applyBorder="1" applyAlignment="1">
      <alignment horizontal="right" vertical="center"/>
    </xf>
    <xf numFmtId="0" fontId="21" fillId="0" borderId="12" xfId="0" applyFont="1" applyBorder="1" applyAlignment="1">
      <alignment vertical="center"/>
    </xf>
    <xf numFmtId="0" fontId="36" fillId="0" borderId="12" xfId="0" applyFont="1" applyBorder="1" applyAlignment="1">
      <alignment horizontal="right" vertical="center"/>
    </xf>
    <xf numFmtId="0" fontId="7" fillId="0" borderId="12" xfId="0" applyFont="1" applyBorder="1" applyAlignment="1">
      <alignment horizontal="right" vertical="center"/>
    </xf>
    <xf numFmtId="0" fontId="93" fillId="5" borderId="287" xfId="0" applyFont="1" applyFill="1" applyBorder="1" applyAlignment="1">
      <alignment horizontal="center" vertical="center"/>
    </xf>
    <xf numFmtId="0" fontId="93" fillId="5" borderId="15" xfId="0" applyFont="1" applyFill="1" applyBorder="1" applyAlignment="1">
      <alignment horizontal="center" vertical="center"/>
    </xf>
    <xf numFmtId="0" fontId="78" fillId="2" borderId="288" xfId="0" applyFont="1" applyFill="1" applyBorder="1" applyAlignment="1" applyProtection="1">
      <alignment horizontal="center" vertical="center"/>
    </xf>
    <xf numFmtId="0" fontId="78" fillId="2" borderId="210" xfId="0" applyFont="1" applyFill="1" applyBorder="1" applyAlignment="1" applyProtection="1">
      <alignment horizontal="center" vertical="center"/>
    </xf>
    <xf numFmtId="0" fontId="78" fillId="2" borderId="209" xfId="0" applyFont="1" applyFill="1" applyBorder="1" applyAlignment="1" applyProtection="1">
      <alignment horizontal="center" vertical="center"/>
    </xf>
    <xf numFmtId="0" fontId="134" fillId="0" borderId="0" xfId="0" applyFont="1" applyAlignment="1">
      <alignment horizontal="left" vertical="center" wrapText="1"/>
    </xf>
    <xf numFmtId="0" fontId="20" fillId="0" borderId="39" xfId="0" applyFont="1" applyFill="1" applyBorder="1" applyAlignment="1">
      <alignment horizontal="left" vertical="center"/>
    </xf>
    <xf numFmtId="0" fontId="20" fillId="0" borderId="0" xfId="0" applyFont="1" applyFill="1" applyBorder="1" applyAlignment="1">
      <alignment horizontal="left" vertical="center"/>
    </xf>
    <xf numFmtId="0" fontId="20" fillId="0" borderId="40" xfId="0" applyFont="1" applyFill="1" applyBorder="1" applyAlignment="1">
      <alignment horizontal="left" vertical="center"/>
    </xf>
    <xf numFmtId="0" fontId="5" fillId="0" borderId="23" xfId="0" applyFont="1" applyFill="1" applyBorder="1" applyAlignment="1">
      <alignment horizontal="right" vertical="center"/>
    </xf>
    <xf numFmtId="0" fontId="5" fillId="0" borderId="20" xfId="0" applyFont="1" applyFill="1" applyBorder="1" applyAlignment="1">
      <alignment horizontal="right" vertical="center"/>
    </xf>
    <xf numFmtId="0" fontId="5" fillId="0" borderId="21" xfId="0" applyFont="1" applyFill="1" applyBorder="1" applyAlignment="1">
      <alignment horizontal="right" vertical="center"/>
    </xf>
    <xf numFmtId="0" fontId="5" fillId="0" borderId="159" xfId="0" applyFont="1" applyFill="1" applyBorder="1" applyAlignment="1">
      <alignment horizontal="right" vertical="center"/>
    </xf>
    <xf numFmtId="0" fontId="5" fillId="0" borderId="151" xfId="0" applyFont="1" applyFill="1" applyBorder="1" applyAlignment="1">
      <alignment horizontal="right" vertical="center"/>
    </xf>
    <xf numFmtId="0" fontId="5" fillId="0" borderId="160" xfId="0" applyFont="1" applyFill="1" applyBorder="1" applyAlignment="1">
      <alignment horizontal="right" vertical="center"/>
    </xf>
    <xf numFmtId="0" fontId="37" fillId="0" borderId="45" xfId="0" applyFont="1" applyFill="1" applyBorder="1" applyAlignment="1">
      <alignment horizontal="left" vertical="center"/>
    </xf>
    <xf numFmtId="0" fontId="37" fillId="0" borderId="19" xfId="0" applyFont="1" applyFill="1" applyBorder="1" applyAlignment="1">
      <alignment horizontal="left" vertical="center"/>
    </xf>
    <xf numFmtId="0" fontId="37" fillId="0" borderId="43" xfId="0" applyFont="1" applyFill="1" applyBorder="1" applyAlignment="1">
      <alignment horizontal="left" vertical="center"/>
    </xf>
    <xf numFmtId="0" fontId="7" fillId="0" borderId="0" xfId="0" applyFont="1" applyFill="1" applyBorder="1" applyAlignment="1">
      <alignment horizontal="left" vertical="center"/>
    </xf>
    <xf numFmtId="0" fontId="7" fillId="0" borderId="40" xfId="0" applyFont="1" applyFill="1" applyBorder="1" applyAlignment="1">
      <alignment horizontal="left" vertical="center"/>
    </xf>
    <xf numFmtId="0" fontId="4" fillId="0" borderId="45" xfId="0" applyFont="1" applyFill="1" applyBorder="1" applyAlignment="1">
      <alignment horizontal="left" vertical="center"/>
    </xf>
    <xf numFmtId="0" fontId="4" fillId="0" borderId="19" xfId="0" applyFont="1" applyFill="1" applyBorder="1" applyAlignment="1">
      <alignment horizontal="left" vertical="center"/>
    </xf>
    <xf numFmtId="0" fontId="4" fillId="0" borderId="43" xfId="0" applyFont="1" applyFill="1" applyBorder="1" applyAlignment="1">
      <alignment horizontal="left" vertical="center"/>
    </xf>
    <xf numFmtId="0" fontId="5" fillId="0" borderId="39" xfId="0" applyFont="1" applyFill="1" applyBorder="1" applyAlignment="1">
      <alignment horizontal="right" vertical="center"/>
    </xf>
    <xf numFmtId="0" fontId="5" fillId="0" borderId="0" xfId="0" applyFont="1" applyFill="1" applyBorder="1" applyAlignment="1">
      <alignment horizontal="right" vertical="center"/>
    </xf>
    <xf numFmtId="0" fontId="5" fillId="0" borderId="40" xfId="0" applyFont="1" applyFill="1" applyBorder="1" applyAlignment="1">
      <alignment horizontal="right" vertical="center"/>
    </xf>
    <xf numFmtId="0" fontId="5" fillId="0" borderId="23" xfId="0" applyFont="1" applyBorder="1" applyAlignment="1">
      <alignment horizontal="right" vertical="center"/>
    </xf>
    <xf numFmtId="0" fontId="13" fillId="0" borderId="20" xfId="0" applyFont="1" applyBorder="1" applyAlignment="1">
      <alignment horizontal="right" vertical="center"/>
    </xf>
    <xf numFmtId="0" fontId="13" fillId="0" borderId="21" xfId="0" applyFont="1" applyBorder="1" applyAlignment="1">
      <alignment horizontal="right" vertical="center"/>
    </xf>
    <xf numFmtId="0" fontId="4" fillId="0" borderId="37" xfId="0" applyFont="1" applyFill="1" applyBorder="1" applyAlignment="1">
      <alignment horizontal="left" vertical="center"/>
    </xf>
    <xf numFmtId="0" fontId="4" fillId="0" borderId="86"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0" xfId="0" applyFont="1" applyFill="1" applyBorder="1" applyAlignment="1">
      <alignment horizontal="left" vertical="center"/>
    </xf>
    <xf numFmtId="0" fontId="4" fillId="0" borderId="40"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21" fillId="13" borderId="175" xfId="0" applyFont="1" applyFill="1" applyBorder="1" applyAlignment="1">
      <alignment horizontal="center" vertical="center" wrapText="1"/>
    </xf>
    <xf numFmtId="0" fontId="21" fillId="13" borderId="137" xfId="0" applyFont="1" applyFill="1" applyBorder="1" applyAlignment="1">
      <alignment horizontal="center" vertical="center" wrapText="1"/>
    </xf>
    <xf numFmtId="0" fontId="21" fillId="13" borderId="174" xfId="0" applyFont="1" applyFill="1" applyBorder="1" applyAlignment="1">
      <alignment horizontal="center" vertical="center" wrapText="1"/>
    </xf>
    <xf numFmtId="0" fontId="21" fillId="13" borderId="83" xfId="0" applyFont="1" applyFill="1" applyBorder="1" applyAlignment="1">
      <alignment horizontal="center" vertical="center" wrapText="1"/>
    </xf>
    <xf numFmtId="0" fontId="21" fillId="13" borderId="0" xfId="0" applyFont="1" applyFill="1" applyBorder="1" applyAlignment="1">
      <alignment horizontal="center" vertical="center" wrapText="1"/>
    </xf>
    <xf numFmtId="0" fontId="21" fillId="13" borderId="171" xfId="0" applyFont="1" applyFill="1" applyBorder="1" applyAlignment="1">
      <alignment horizontal="center" vertical="center" wrapText="1"/>
    </xf>
    <xf numFmtId="0" fontId="21" fillId="13" borderId="176" xfId="0" applyFont="1" applyFill="1" applyBorder="1" applyAlignment="1">
      <alignment horizontal="center" vertical="center" wrapText="1"/>
    </xf>
    <xf numFmtId="0" fontId="21" fillId="13" borderId="145" xfId="0" applyFont="1" applyFill="1" applyBorder="1" applyAlignment="1">
      <alignment horizontal="center" vertical="center" wrapText="1"/>
    </xf>
    <xf numFmtId="0" fontId="21" fillId="13" borderId="172" xfId="0" applyFont="1" applyFill="1" applyBorder="1" applyAlignment="1">
      <alignment horizontal="center" vertical="center" wrapText="1"/>
    </xf>
    <xf numFmtId="0" fontId="31" fillId="0" borderId="45" xfId="0" applyFont="1" applyFill="1" applyBorder="1" applyAlignment="1">
      <alignment vertical="center"/>
    </xf>
    <xf numFmtId="0" fontId="31" fillId="0" borderId="19" xfId="0" applyFont="1" applyFill="1" applyBorder="1" applyAlignment="1">
      <alignment vertical="center"/>
    </xf>
    <xf numFmtId="0" fontId="0" fillId="0" borderId="43" xfId="0" applyBorder="1" applyAlignment="1">
      <alignment vertical="center"/>
    </xf>
    <xf numFmtId="0" fontId="3" fillId="0" borderId="20" xfId="0" applyFont="1" applyFill="1" applyBorder="1" applyAlignment="1">
      <alignment horizontal="center" vertical="center"/>
    </xf>
    <xf numFmtId="171" fontId="98" fillId="0" borderId="76" xfId="0" applyNumberFormat="1" applyFont="1" applyFill="1" applyBorder="1" applyAlignment="1">
      <alignment horizontal="center" vertical="center" wrapText="1"/>
    </xf>
    <xf numFmtId="171" fontId="98" fillId="0" borderId="79" xfId="0" applyNumberFormat="1" applyFont="1" applyFill="1" applyBorder="1" applyAlignment="1">
      <alignment horizontal="center" vertical="center" wrapText="1"/>
    </xf>
    <xf numFmtId="1" fontId="5" fillId="0" borderId="29" xfId="0" applyNumberFormat="1" applyFont="1" applyFill="1" applyBorder="1" applyAlignment="1">
      <alignment horizontal="center" vertical="center" wrapText="1"/>
    </xf>
    <xf numFmtId="1" fontId="5" fillId="0" borderId="32" xfId="0" applyNumberFormat="1" applyFont="1" applyFill="1" applyBorder="1" applyAlignment="1">
      <alignment horizontal="center" vertical="center" wrapText="1"/>
    </xf>
    <xf numFmtId="171" fontId="47" fillId="0" borderId="94" xfId="0" applyNumberFormat="1" applyFont="1" applyFill="1" applyBorder="1" applyAlignment="1">
      <alignment horizontal="center" vertical="center" wrapText="1"/>
    </xf>
    <xf numFmtId="171" fontId="47" fillId="0" borderId="290" xfId="0" applyNumberFormat="1" applyFont="1" applyFill="1" applyBorder="1" applyAlignment="1">
      <alignment horizontal="center" vertical="center" wrapText="1"/>
    </xf>
    <xf numFmtId="170" fontId="102" fillId="0" borderId="108" xfId="0" applyNumberFormat="1" applyFont="1" applyFill="1" applyBorder="1" applyAlignment="1">
      <alignment horizontal="center" vertical="center" wrapText="1"/>
    </xf>
    <xf numFmtId="170" fontId="102" fillId="0" borderId="146" xfId="0" applyNumberFormat="1" applyFont="1" applyFill="1" applyBorder="1" applyAlignment="1">
      <alignment horizontal="center" vertical="center" wrapText="1"/>
    </xf>
    <xf numFmtId="0" fontId="5" fillId="0" borderId="37" xfId="0" applyFont="1" applyBorder="1" applyAlignment="1">
      <alignment horizontal="right" vertical="center"/>
    </xf>
    <xf numFmtId="0" fontId="5" fillId="0" borderId="86" xfId="0" applyFont="1" applyBorder="1" applyAlignment="1">
      <alignment horizontal="right" vertical="center"/>
    </xf>
    <xf numFmtId="0" fontId="5" fillId="0" borderId="38" xfId="0" applyFont="1" applyBorder="1" applyAlignment="1">
      <alignment horizontal="right" vertical="center"/>
    </xf>
    <xf numFmtId="0" fontId="5" fillId="0" borderId="39" xfId="0" applyFont="1" applyBorder="1" applyAlignment="1">
      <alignment horizontal="right" vertical="center"/>
    </xf>
    <xf numFmtId="0" fontId="5" fillId="0" borderId="0" xfId="0" applyFont="1" applyBorder="1" applyAlignment="1">
      <alignment horizontal="right" vertical="center"/>
    </xf>
    <xf numFmtId="0" fontId="5" fillId="0" borderId="40" xfId="0" applyFont="1" applyBorder="1" applyAlignment="1">
      <alignment horizontal="right" vertical="center"/>
    </xf>
    <xf numFmtId="0" fontId="12" fillId="0" borderId="159" xfId="0" applyFont="1" applyBorder="1" applyAlignment="1">
      <alignment horizontal="left" vertical="center"/>
    </xf>
    <xf numFmtId="0" fontId="12" fillId="0" borderId="151" xfId="0" applyFont="1" applyBorder="1" applyAlignment="1">
      <alignment horizontal="left" vertical="center"/>
    </xf>
    <xf numFmtId="0" fontId="12" fillId="0" borderId="160" xfId="0" applyFont="1" applyBorder="1" applyAlignment="1">
      <alignment horizontal="left" vertical="center"/>
    </xf>
    <xf numFmtId="0" fontId="78" fillId="2" borderId="6" xfId="0" applyFont="1" applyFill="1" applyBorder="1" applyAlignment="1">
      <alignment horizontal="center"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7" fillId="0" borderId="37" xfId="0" applyFont="1" applyFill="1" applyBorder="1" applyAlignment="1">
      <alignment horizontal="left" vertical="center"/>
    </xf>
    <xf numFmtId="0" fontId="7" fillId="0" borderId="86" xfId="0" applyFont="1" applyFill="1" applyBorder="1" applyAlignment="1">
      <alignment horizontal="left" vertical="center"/>
    </xf>
    <xf numFmtId="0" fontId="7" fillId="0" borderId="38" xfId="0" applyFont="1" applyFill="1" applyBorder="1" applyAlignment="1">
      <alignment horizontal="left" vertical="center"/>
    </xf>
    <xf numFmtId="0" fontId="31" fillId="0" borderId="39" xfId="0" applyFont="1" applyFill="1" applyBorder="1" applyAlignment="1">
      <alignment horizontal="left" vertical="center"/>
    </xf>
    <xf numFmtId="0" fontId="31" fillId="0" borderId="0" xfId="0" applyFont="1" applyFill="1" applyBorder="1" applyAlignment="1">
      <alignment horizontal="left" vertical="center"/>
    </xf>
    <xf numFmtId="0" fontId="31" fillId="0" borderId="40" xfId="0" applyFont="1" applyFill="1" applyBorder="1" applyAlignment="1">
      <alignment horizontal="left" vertical="center"/>
    </xf>
    <xf numFmtId="0" fontId="17" fillId="0" borderId="352" xfId="0" applyFont="1" applyBorder="1" applyAlignment="1">
      <alignment horizontal="left" vertical="center"/>
    </xf>
    <xf numFmtId="0" fontId="17" fillId="0" borderId="353" xfId="0" applyFont="1" applyBorder="1" applyAlignment="1">
      <alignment horizontal="left" vertical="center"/>
    </xf>
    <xf numFmtId="0" fontId="17" fillId="0" borderId="354" xfId="0" applyFont="1" applyBorder="1" applyAlignment="1">
      <alignment horizontal="left" vertical="center"/>
    </xf>
    <xf numFmtId="0" fontId="11" fillId="2" borderId="177" xfId="0" applyFont="1" applyFill="1" applyBorder="1" applyAlignment="1">
      <alignment horizontal="center" vertical="center"/>
    </xf>
    <xf numFmtId="1" fontId="28" fillId="2" borderId="76" xfId="0" applyNumberFormat="1" applyFont="1" applyFill="1" applyBorder="1" applyAlignment="1">
      <alignment horizontal="center" vertical="center"/>
    </xf>
    <xf numFmtId="1" fontId="28" fillId="2" borderId="90" xfId="0" applyNumberFormat="1" applyFont="1" applyFill="1" applyBorder="1" applyAlignment="1">
      <alignment horizontal="center" vertical="center"/>
    </xf>
    <xf numFmtId="0" fontId="5"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38" fillId="0" borderId="77" xfId="0" applyFont="1" applyBorder="1" applyAlignment="1">
      <alignment horizontal="center" vertical="center" wrapText="1"/>
    </xf>
    <xf numFmtId="0" fontId="38" fillId="0" borderId="78" xfId="0" applyFont="1" applyBorder="1" applyAlignment="1">
      <alignment horizontal="center" vertical="center" wrapText="1"/>
    </xf>
    <xf numFmtId="0" fontId="38" fillId="0" borderId="295" xfId="0" applyFont="1" applyBorder="1" applyAlignment="1">
      <alignment horizontal="center" vertical="center" wrapText="1"/>
    </xf>
    <xf numFmtId="0" fontId="5" fillId="0" borderId="182" xfId="0" applyFont="1" applyBorder="1" applyAlignment="1">
      <alignment horizontal="center" vertical="center" wrapText="1"/>
    </xf>
    <xf numFmtId="0" fontId="5" fillId="0" borderId="286" xfId="0" applyFont="1" applyBorder="1" applyAlignment="1">
      <alignment horizontal="center" vertical="center" wrapText="1"/>
    </xf>
    <xf numFmtId="0" fontId="5" fillId="0" borderId="181" xfId="0" applyFont="1" applyBorder="1" applyAlignment="1">
      <alignment horizontal="center" vertical="center" wrapText="1"/>
    </xf>
    <xf numFmtId="1" fontId="17" fillId="0" borderId="35" xfId="0" applyNumberFormat="1" applyFont="1" applyFill="1" applyBorder="1" applyAlignment="1">
      <alignment horizontal="center" vertical="center" wrapText="1"/>
    </xf>
    <xf numFmtId="1" fontId="28" fillId="0" borderId="24" xfId="0" applyNumberFormat="1" applyFont="1" applyFill="1" applyBorder="1" applyAlignment="1">
      <alignment horizontal="center" vertical="center" wrapText="1"/>
    </xf>
    <xf numFmtId="1" fontId="28" fillId="2" borderId="35" xfId="0" applyNumberFormat="1" applyFont="1" applyFill="1" applyBorder="1" applyAlignment="1">
      <alignment horizontal="center" vertical="center"/>
    </xf>
    <xf numFmtId="1" fontId="28" fillId="2" borderId="36" xfId="0" applyNumberFormat="1" applyFont="1" applyFill="1" applyBorder="1" applyAlignment="1">
      <alignment horizontal="center" vertical="center"/>
    </xf>
    <xf numFmtId="182" fontId="28" fillId="2" borderId="76" xfId="0" applyNumberFormat="1" applyFont="1" applyFill="1" applyBorder="1" applyAlignment="1">
      <alignment horizontal="center" vertical="center"/>
    </xf>
    <xf numFmtId="182" fontId="28" fillId="2" borderId="90" xfId="0" applyNumberFormat="1" applyFont="1" applyFill="1" applyBorder="1" applyAlignment="1">
      <alignment horizontal="center" vertical="center"/>
    </xf>
    <xf numFmtId="179" fontId="28" fillId="2" borderId="76" xfId="0" applyNumberFormat="1" applyFont="1" applyFill="1" applyBorder="1" applyAlignment="1">
      <alignment horizontal="center" vertical="center"/>
    </xf>
    <xf numFmtId="179" fontId="28" fillId="2" borderId="90" xfId="0" applyNumberFormat="1" applyFont="1" applyFill="1" applyBorder="1" applyAlignment="1">
      <alignment horizontal="center" vertical="center"/>
    </xf>
    <xf numFmtId="0" fontId="133" fillId="0" borderId="86" xfId="0" applyFont="1" applyBorder="1" applyAlignment="1">
      <alignment horizontal="left" vertical="center" wrapText="1"/>
    </xf>
    <xf numFmtId="0" fontId="27" fillId="0" borderId="191" xfId="0" applyFont="1" applyBorder="1" applyAlignment="1">
      <alignment horizontal="center" vertical="center"/>
    </xf>
    <xf numFmtId="0" fontId="27" fillId="0" borderId="192" xfId="0" applyFont="1" applyBorder="1" applyAlignment="1">
      <alignment horizontal="center" vertical="center"/>
    </xf>
    <xf numFmtId="0" fontId="27" fillId="0" borderId="193" xfId="0" applyFont="1" applyBorder="1" applyAlignment="1">
      <alignment horizontal="center" vertical="center"/>
    </xf>
    <xf numFmtId="0" fontId="27" fillId="0" borderId="190" xfId="0" applyFont="1" applyBorder="1" applyAlignment="1">
      <alignment horizontal="center" vertical="center"/>
    </xf>
    <xf numFmtId="0" fontId="27" fillId="0" borderId="91" xfId="0" applyFont="1" applyBorder="1" applyAlignment="1">
      <alignment horizontal="center" vertical="center"/>
    </xf>
    <xf numFmtId="0" fontId="27" fillId="0" borderId="187" xfId="0" applyFont="1" applyBorder="1" applyAlignment="1">
      <alignment horizontal="center" vertical="center"/>
    </xf>
    <xf numFmtId="0" fontId="27" fillId="0" borderId="188" xfId="0" applyFont="1" applyBorder="1" applyAlignment="1">
      <alignment horizontal="center" vertical="center"/>
    </xf>
    <xf numFmtId="0" fontId="27" fillId="0" borderId="189" xfId="0" applyFont="1" applyBorder="1" applyAlignment="1">
      <alignment horizontal="center" vertical="center"/>
    </xf>
    <xf numFmtId="0" fontId="60" fillId="2" borderId="178" xfId="0" applyFont="1" applyFill="1" applyBorder="1" applyAlignment="1">
      <alignment horizontal="center" vertical="center"/>
    </xf>
    <xf numFmtId="0" fontId="60" fillId="2" borderId="179" xfId="0" applyFont="1" applyFill="1" applyBorder="1" applyAlignment="1">
      <alignment horizontal="center" vertical="center"/>
    </xf>
    <xf numFmtId="0" fontId="60" fillId="2" borderId="183" xfId="0" applyFont="1" applyFill="1" applyBorder="1" applyAlignment="1">
      <alignment horizontal="center" vertical="center"/>
    </xf>
    <xf numFmtId="0" fontId="60" fillId="2" borderId="184" xfId="0" applyFont="1" applyFill="1" applyBorder="1" applyAlignment="1">
      <alignment horizontal="center" vertical="center"/>
    </xf>
    <xf numFmtId="0" fontId="60" fillId="2" borderId="185" xfId="0" applyFont="1" applyFill="1" applyBorder="1" applyAlignment="1">
      <alignment horizontal="center" vertical="center"/>
    </xf>
    <xf numFmtId="0" fontId="60" fillId="2" borderId="186" xfId="0" applyFont="1" applyFill="1" applyBorder="1" applyAlignment="1">
      <alignment horizontal="center" vertical="center"/>
    </xf>
    <xf numFmtId="3" fontId="123" fillId="0" borderId="325" xfId="0" applyNumberFormat="1" applyFont="1" applyFill="1" applyBorder="1" applyAlignment="1">
      <alignment horizontal="center" vertical="center" wrapText="1"/>
    </xf>
    <xf numFmtId="3" fontId="122" fillId="0" borderId="326" xfId="0" applyNumberFormat="1" applyFont="1" applyFill="1" applyBorder="1" applyAlignment="1">
      <alignment horizontal="center" vertical="center" wrapText="1"/>
    </xf>
    <xf numFmtId="3" fontId="122" fillId="0" borderId="306" xfId="0" applyNumberFormat="1" applyFont="1" applyFill="1" applyBorder="1" applyAlignment="1">
      <alignment horizontal="center" vertical="center" wrapText="1"/>
    </xf>
    <xf numFmtId="3" fontId="122" fillId="0" borderId="327" xfId="0" applyNumberFormat="1" applyFont="1" applyFill="1" applyBorder="1" applyAlignment="1">
      <alignment horizontal="center" vertical="center" wrapText="1"/>
    </xf>
    <xf numFmtId="3" fontId="122" fillId="0" borderId="235" xfId="0" applyNumberFormat="1" applyFont="1" applyFill="1" applyBorder="1" applyAlignment="1">
      <alignment horizontal="center" vertical="center" wrapText="1"/>
    </xf>
    <xf numFmtId="3" fontId="122" fillId="0" borderId="233" xfId="0" applyNumberFormat="1" applyFont="1" applyFill="1" applyBorder="1" applyAlignment="1">
      <alignment horizontal="center" vertical="center" wrapText="1"/>
    </xf>
    <xf numFmtId="1" fontId="127" fillId="0" borderId="367" xfId="0" applyNumberFormat="1" applyFont="1" applyBorder="1" applyAlignment="1">
      <alignment horizontal="center" vertical="center"/>
    </xf>
    <xf numFmtId="1" fontId="127" fillId="0" borderId="365" xfId="0" applyNumberFormat="1" applyFont="1" applyBorder="1" applyAlignment="1">
      <alignment horizontal="center" vertical="center"/>
    </xf>
    <xf numFmtId="1" fontId="127" fillId="0" borderId="366" xfId="0" applyNumberFormat="1" applyFont="1" applyBorder="1" applyAlignment="1">
      <alignment horizontal="center" vertical="center"/>
    </xf>
    <xf numFmtId="0" fontId="21" fillId="13" borderId="37" xfId="0" applyFont="1" applyFill="1" applyBorder="1" applyAlignment="1">
      <alignment horizontal="center" vertical="center" wrapText="1"/>
    </xf>
    <xf numFmtId="0" fontId="21" fillId="13" borderId="86" xfId="0" applyFont="1" applyFill="1" applyBorder="1" applyAlignment="1">
      <alignment horizontal="center" vertical="center" wrapText="1"/>
    </xf>
    <xf numFmtId="0" fontId="21" fillId="13" borderId="301" xfId="0" applyFont="1" applyFill="1" applyBorder="1" applyAlignment="1">
      <alignment horizontal="center" vertical="center" wrapText="1"/>
    </xf>
    <xf numFmtId="0" fontId="21" fillId="13" borderId="39" xfId="0" applyFont="1" applyFill="1" applyBorder="1" applyAlignment="1">
      <alignment horizontal="center" vertical="center" wrapText="1"/>
    </xf>
    <xf numFmtId="0" fontId="21" fillId="13" borderId="238" xfId="0" applyFont="1" applyFill="1" applyBorder="1" applyAlignment="1">
      <alignment horizontal="center" vertical="center" wrapText="1"/>
    </xf>
    <xf numFmtId="0" fontId="21" fillId="13" borderId="215" xfId="0" applyFont="1" applyFill="1" applyBorder="1" applyAlignment="1">
      <alignment horizontal="center" vertical="center" wrapText="1"/>
    </xf>
    <xf numFmtId="0" fontId="21" fillId="13" borderId="210" xfId="0" applyFont="1" applyFill="1" applyBorder="1" applyAlignment="1">
      <alignment horizontal="center" vertical="center" wrapText="1"/>
    </xf>
    <xf numFmtId="0" fontId="21" fillId="13" borderId="209" xfId="0" applyFont="1" applyFill="1" applyBorder="1" applyAlignment="1">
      <alignment horizontal="center" vertical="center" wrapText="1"/>
    </xf>
    <xf numFmtId="0" fontId="11" fillId="2" borderId="23"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89" xfId="0" applyFont="1" applyFill="1" applyBorder="1" applyAlignment="1">
      <alignment horizontal="left" vertical="center"/>
    </xf>
    <xf numFmtId="0" fontId="94" fillId="20" borderId="85" xfId="0" applyNumberFormat="1" applyFont="1" applyFill="1" applyBorder="1" applyAlignment="1">
      <alignment horizontal="center" vertical="center" wrapText="1"/>
    </xf>
    <xf numFmtId="0" fontId="94" fillId="20" borderId="77" xfId="0" applyNumberFormat="1" applyFont="1" applyFill="1" applyBorder="1" applyAlignment="1">
      <alignment horizontal="center" vertical="center" wrapText="1"/>
    </xf>
    <xf numFmtId="0" fontId="16" fillId="21" borderId="85" xfId="0" applyFont="1" applyFill="1" applyBorder="1" applyAlignment="1">
      <alignment horizontal="center" vertical="center" wrapText="1"/>
    </xf>
    <xf numFmtId="0" fontId="16" fillId="21" borderId="77" xfId="0" applyFont="1" applyFill="1" applyBorder="1" applyAlignment="1">
      <alignment horizontal="center" vertical="center" wrapText="1"/>
    </xf>
    <xf numFmtId="0" fontId="16" fillId="11" borderId="85" xfId="0" applyFont="1" applyFill="1" applyBorder="1" applyAlignment="1">
      <alignment horizontal="center" vertical="center" wrapText="1"/>
    </xf>
    <xf numFmtId="0" fontId="0" fillId="11" borderId="77" xfId="0" applyFill="1" applyBorder="1" applyAlignment="1">
      <alignment horizontal="center" vertical="center" wrapText="1"/>
    </xf>
    <xf numFmtId="0" fontId="17" fillId="19" borderId="85" xfId="0" applyFont="1" applyFill="1" applyBorder="1" applyAlignment="1">
      <alignment horizontal="center" vertical="center" wrapText="1"/>
    </xf>
    <xf numFmtId="0" fontId="121" fillId="19" borderId="77" xfId="0" applyFont="1" applyFill="1" applyBorder="1" applyAlignment="1">
      <alignment horizontal="center" vertical="center" wrapText="1"/>
    </xf>
    <xf numFmtId="0" fontId="16" fillId="12" borderId="85" xfId="0" applyFont="1" applyFill="1" applyBorder="1" applyAlignment="1">
      <alignment horizontal="center" vertical="center" wrapText="1"/>
    </xf>
    <xf numFmtId="0" fontId="0" fillId="12" borderId="77" xfId="0" applyFill="1" applyBorder="1" applyAlignment="1">
      <alignment horizontal="center" vertical="center" wrapText="1"/>
    </xf>
    <xf numFmtId="49" fontId="17" fillId="3" borderId="77" xfId="0" applyNumberFormat="1" applyFont="1" applyFill="1" applyBorder="1" applyAlignment="1">
      <alignment horizontal="center" vertical="center" wrapText="1"/>
    </xf>
    <xf numFmtId="0" fontId="17" fillId="3" borderId="77" xfId="0" applyFont="1" applyFill="1" applyBorder="1" applyAlignment="1">
      <alignment horizontal="center" vertical="center" wrapText="1"/>
    </xf>
    <xf numFmtId="0" fontId="17" fillId="3" borderId="78" xfId="0" applyFont="1" applyFill="1" applyBorder="1" applyAlignment="1">
      <alignment horizontal="center" vertical="center" wrapText="1"/>
    </xf>
    <xf numFmtId="0" fontId="94" fillId="18" borderId="77" xfId="0" applyFont="1" applyFill="1" applyBorder="1" applyAlignment="1">
      <alignment horizontal="center" vertical="center" wrapText="1"/>
    </xf>
    <xf numFmtId="0" fontId="94" fillId="18" borderId="221" xfId="0" applyFont="1" applyFill="1" applyBorder="1" applyAlignment="1">
      <alignment horizontal="center" vertical="center" wrapText="1"/>
    </xf>
    <xf numFmtId="0" fontId="5" fillId="0" borderId="85" xfId="0" applyFont="1" applyFill="1" applyBorder="1" applyAlignment="1">
      <alignment horizontal="right" vertical="center"/>
    </xf>
    <xf numFmtId="0" fontId="5" fillId="0" borderId="77" xfId="0" applyFont="1" applyFill="1" applyBorder="1" applyAlignment="1">
      <alignment horizontal="right" vertical="center"/>
    </xf>
    <xf numFmtId="0" fontId="5" fillId="0" borderId="78" xfId="0" applyFont="1" applyFill="1" applyBorder="1" applyAlignment="1">
      <alignment horizontal="right" vertical="center"/>
    </xf>
    <xf numFmtId="0" fontId="5" fillId="0" borderId="381" xfId="0" applyFont="1" applyFill="1" applyBorder="1" applyAlignment="1">
      <alignment horizontal="right" vertical="center"/>
    </xf>
    <xf numFmtId="0" fontId="5" fillId="0" borderId="382" xfId="0" applyFont="1" applyFill="1" applyBorder="1" applyAlignment="1">
      <alignment horizontal="right" vertical="center"/>
    </xf>
    <xf numFmtId="0" fontId="5" fillId="0" borderId="383" xfId="0" applyFont="1" applyFill="1" applyBorder="1" applyAlignment="1">
      <alignment horizontal="right" vertical="center"/>
    </xf>
    <xf numFmtId="0" fontId="5" fillId="0" borderId="138" xfId="0" applyFont="1" applyFill="1" applyBorder="1" applyAlignment="1">
      <alignment horizontal="right" vertical="center"/>
    </xf>
    <xf numFmtId="0" fontId="21" fillId="13" borderId="458" xfId="0" applyFont="1" applyFill="1" applyBorder="1" applyAlignment="1">
      <alignment horizontal="center" vertical="center" wrapText="1"/>
    </xf>
    <xf numFmtId="0" fontId="21" fillId="13" borderId="398" xfId="0" applyFont="1" applyFill="1" applyBorder="1" applyAlignment="1">
      <alignment horizontal="center" vertical="center" wrapText="1"/>
    </xf>
    <xf numFmtId="0" fontId="21" fillId="13" borderId="459" xfId="0" applyFont="1" applyFill="1" applyBorder="1" applyAlignment="1">
      <alignment horizontal="center" vertical="center" wrapText="1"/>
    </xf>
    <xf numFmtId="0" fontId="78" fillId="2" borderId="3" xfId="0" applyFont="1" applyFill="1" applyBorder="1" applyAlignment="1">
      <alignment horizontal="center" vertical="center"/>
    </xf>
    <xf numFmtId="0" fontId="78" fillId="2" borderId="0" xfId="0" applyFont="1" applyFill="1" applyBorder="1" applyAlignment="1">
      <alignment horizontal="center" vertical="center"/>
    </xf>
    <xf numFmtId="0" fontId="78" fillId="2" borderId="171" xfId="0" applyFont="1" applyFill="1" applyBorder="1" applyAlignment="1">
      <alignment horizontal="center" vertical="center"/>
    </xf>
    <xf numFmtId="0" fontId="5" fillId="0" borderId="87" xfId="0" applyFont="1" applyFill="1" applyBorder="1" applyAlignment="1">
      <alignment horizontal="right" vertical="center"/>
    </xf>
    <xf numFmtId="0" fontId="78" fillId="2" borderId="191" xfId="0" applyFont="1" applyFill="1" applyBorder="1" applyAlignment="1">
      <alignment horizontal="center" vertical="center"/>
    </xf>
    <xf numFmtId="0" fontId="78" fillId="2" borderId="192" xfId="0" applyFont="1" applyFill="1" applyBorder="1" applyAlignment="1">
      <alignment horizontal="center" vertical="center"/>
    </xf>
    <xf numFmtId="0" fontId="78" fillId="2" borderId="193" xfId="0" applyFont="1" applyFill="1" applyBorder="1" applyAlignment="1">
      <alignment horizontal="center" vertical="center"/>
    </xf>
    <xf numFmtId="0" fontId="60" fillId="2" borderId="211" xfId="0" applyFont="1" applyFill="1" applyBorder="1" applyAlignment="1">
      <alignment horizontal="center" vertical="center"/>
    </xf>
    <xf numFmtId="0" fontId="60" fillId="2" borderId="89" xfId="0" applyFont="1" applyFill="1" applyBorder="1" applyAlignment="1">
      <alignment horizontal="center" vertical="center"/>
    </xf>
    <xf numFmtId="0" fontId="60" fillId="2" borderId="204" xfId="0" applyFont="1" applyFill="1" applyBorder="1" applyAlignment="1">
      <alignment horizontal="center" vertical="center"/>
    </xf>
    <xf numFmtId="0" fontId="134" fillId="0" borderId="367" xfId="0" applyFont="1" applyFill="1" applyBorder="1" applyAlignment="1">
      <alignment horizontal="left" vertical="center" wrapText="1"/>
    </xf>
    <xf numFmtId="0" fontId="134" fillId="0" borderId="368" xfId="0" applyFont="1" applyFill="1" applyBorder="1" applyAlignment="1">
      <alignment horizontal="left" vertical="center" wrapText="1"/>
    </xf>
    <xf numFmtId="0" fontId="134" fillId="0" borderId="242" xfId="0" applyFont="1" applyFill="1" applyBorder="1" applyAlignment="1">
      <alignment horizontal="left" vertical="center" wrapText="1"/>
    </xf>
    <xf numFmtId="0" fontId="7" fillId="0" borderId="39" xfId="0" applyFont="1" applyFill="1" applyBorder="1" applyAlignment="1">
      <alignment horizontal="left" vertical="center"/>
    </xf>
    <xf numFmtId="0" fontId="17" fillId="0" borderId="0" xfId="0" applyFont="1" applyFill="1" applyBorder="1" applyAlignment="1">
      <alignment horizontal="left" vertical="center" indent="1"/>
    </xf>
    <xf numFmtId="0" fontId="17" fillId="0" borderId="90" xfId="0" applyFont="1" applyFill="1" applyBorder="1" applyAlignment="1">
      <alignment horizontal="left" vertical="center" indent="1"/>
    </xf>
    <xf numFmtId="0" fontId="17" fillId="9" borderId="85" xfId="0" applyFont="1" applyFill="1" applyBorder="1" applyAlignment="1">
      <alignment horizontal="left" vertical="center" indent="1"/>
    </xf>
    <xf numFmtId="0" fontId="17" fillId="9" borderId="78" xfId="0" applyFont="1" applyFill="1" applyBorder="1" applyAlignment="1">
      <alignment horizontal="left" vertical="center" indent="1"/>
    </xf>
    <xf numFmtId="0" fontId="20" fillId="8" borderId="0" xfId="0" applyFont="1" applyFill="1" applyBorder="1" applyAlignment="1">
      <alignment horizontal="left" vertical="center" indent="1"/>
    </xf>
    <xf numFmtId="0" fontId="20" fillId="8" borderId="90" xfId="0" applyFont="1" applyFill="1" applyBorder="1" applyAlignment="1">
      <alignment horizontal="left" vertical="center" indent="1"/>
    </xf>
    <xf numFmtId="0" fontId="7" fillId="0" borderId="0" xfId="0" applyFont="1" applyFill="1" applyBorder="1" applyAlignment="1">
      <alignment horizontal="left" vertical="center" indent="1"/>
    </xf>
    <xf numFmtId="0" fontId="7" fillId="0" borderId="90" xfId="0" applyFont="1" applyFill="1" applyBorder="1" applyAlignment="1">
      <alignment horizontal="left" vertical="center" indent="1"/>
    </xf>
    <xf numFmtId="0" fontId="11" fillId="2" borderId="37" xfId="0" applyFont="1" applyFill="1" applyBorder="1" applyAlignment="1">
      <alignment horizontal="center" vertical="center"/>
    </xf>
    <xf numFmtId="0" fontId="11" fillId="2" borderId="86" xfId="0" applyFont="1" applyFill="1" applyBorder="1" applyAlignment="1">
      <alignment horizontal="center" vertical="center"/>
    </xf>
    <xf numFmtId="0" fontId="11" fillId="2" borderId="240" xfId="0" applyFont="1" applyFill="1" applyBorder="1" applyAlignment="1">
      <alignment horizontal="center" vertical="center"/>
    </xf>
    <xf numFmtId="0" fontId="11" fillId="2" borderId="216" xfId="0" applyFont="1" applyFill="1" applyBorder="1" applyAlignment="1">
      <alignment horizontal="center" vertical="center"/>
    </xf>
    <xf numFmtId="0" fontId="70" fillId="0" borderId="37" xfId="0" applyFont="1" applyBorder="1" applyAlignment="1">
      <alignment horizontal="center" vertical="center"/>
    </xf>
    <xf numFmtId="0" fontId="70" fillId="0" borderId="86" xfId="0" applyFont="1" applyBorder="1" applyAlignment="1">
      <alignment horizontal="center" vertical="center"/>
    </xf>
    <xf numFmtId="0" fontId="70" fillId="0" borderId="38" xfId="0" applyFont="1" applyBorder="1" applyAlignment="1">
      <alignment horizontal="center" vertical="center"/>
    </xf>
    <xf numFmtId="0" fontId="70" fillId="0" borderId="19" xfId="0" applyFont="1" applyBorder="1" applyAlignment="1">
      <alignment horizontal="center" vertical="center"/>
    </xf>
    <xf numFmtId="0" fontId="70" fillId="0" borderId="43" xfId="0" applyFont="1" applyBorder="1" applyAlignment="1">
      <alignment horizontal="center" vertical="center"/>
    </xf>
    <xf numFmtId="0" fontId="47" fillId="0" borderId="24" xfId="0" applyNumberFormat="1" applyFont="1" applyBorder="1" applyAlignment="1">
      <alignment horizontal="center" vertical="center" wrapText="1"/>
    </xf>
    <xf numFmtId="1" fontId="47" fillId="0" borderId="24" xfId="0" applyNumberFormat="1" applyFont="1" applyBorder="1" applyAlignment="1">
      <alignment horizontal="center" vertical="center" wrapText="1"/>
    </xf>
    <xf numFmtId="1" fontId="70" fillId="0" borderId="37" xfId="0" applyNumberFormat="1" applyFont="1" applyBorder="1" applyAlignment="1">
      <alignment horizontal="center" vertical="center"/>
    </xf>
    <xf numFmtId="1" fontId="70" fillId="0" borderId="86" xfId="0" applyNumberFormat="1" applyFont="1" applyBorder="1" applyAlignment="1">
      <alignment horizontal="center" vertical="center"/>
    </xf>
    <xf numFmtId="1" fontId="70" fillId="0" borderId="38" xfId="0" applyNumberFormat="1" applyFont="1" applyBorder="1" applyAlignment="1">
      <alignment horizontal="center" vertical="center"/>
    </xf>
    <xf numFmtId="1" fontId="70" fillId="0" borderId="39" xfId="0" applyNumberFormat="1" applyFont="1" applyBorder="1" applyAlignment="1">
      <alignment horizontal="center" vertical="center"/>
    </xf>
    <xf numFmtId="1" fontId="70" fillId="0" borderId="0" xfId="0" applyNumberFormat="1" applyFont="1" applyBorder="1" applyAlignment="1">
      <alignment horizontal="center" vertical="center"/>
    </xf>
    <xf numFmtId="1" fontId="70" fillId="0" borderId="40" xfId="0" applyNumberFormat="1" applyFont="1" applyBorder="1" applyAlignment="1">
      <alignment horizontal="center" vertical="center"/>
    </xf>
    <xf numFmtId="1" fontId="70" fillId="0" borderId="45" xfId="0" applyNumberFormat="1" applyFont="1" applyBorder="1" applyAlignment="1">
      <alignment horizontal="center" vertical="center"/>
    </xf>
    <xf numFmtId="1" fontId="70" fillId="0" borderId="19" xfId="0" applyNumberFormat="1" applyFont="1" applyBorder="1" applyAlignment="1">
      <alignment horizontal="center" vertical="center"/>
    </xf>
    <xf numFmtId="1" fontId="70" fillId="0" borderId="43" xfId="0" applyNumberFormat="1" applyFont="1" applyBorder="1" applyAlignment="1">
      <alignment horizontal="center" vertical="center"/>
    </xf>
    <xf numFmtId="0" fontId="70" fillId="0" borderId="39" xfId="0" applyFont="1" applyBorder="1" applyAlignment="1">
      <alignment horizontal="center" vertical="center"/>
    </xf>
    <xf numFmtId="0" fontId="70" fillId="0" borderId="0" xfId="0" applyFont="1" applyBorder="1" applyAlignment="1">
      <alignment horizontal="center" vertical="center"/>
    </xf>
    <xf numFmtId="0" fontId="70" fillId="0" borderId="40" xfId="0" applyFont="1" applyBorder="1" applyAlignment="1">
      <alignment horizontal="center" vertical="center"/>
    </xf>
    <xf numFmtId="0" fontId="70" fillId="0" borderId="45" xfId="0" applyFont="1" applyBorder="1" applyAlignment="1">
      <alignment horizontal="center" vertical="center"/>
    </xf>
    <xf numFmtId="0" fontId="7" fillId="8" borderId="0" xfId="0" applyFont="1" applyFill="1" applyBorder="1" applyAlignment="1">
      <alignment horizontal="left" vertical="center" indent="1"/>
    </xf>
    <xf numFmtId="0" fontId="7" fillId="8" borderId="90" xfId="0" applyFont="1" applyFill="1" applyBorder="1" applyAlignment="1">
      <alignment horizontal="left" vertical="center" indent="1"/>
    </xf>
    <xf numFmtId="0" fontId="20" fillId="0" borderId="0" xfId="0" applyFont="1" applyFill="1" applyBorder="1" applyAlignment="1">
      <alignment horizontal="left" vertical="center" indent="1"/>
    </xf>
    <xf numFmtId="0" fontId="20" fillId="0" borderId="90" xfId="0" applyFont="1" applyFill="1" applyBorder="1" applyAlignment="1">
      <alignment horizontal="left" vertical="center" indent="1"/>
    </xf>
    <xf numFmtId="0" fontId="7" fillId="8" borderId="168" xfId="0" applyFont="1" applyFill="1" applyBorder="1" applyAlignment="1">
      <alignment horizontal="left" vertical="center" indent="1"/>
    </xf>
    <xf numFmtId="0" fontId="7" fillId="8" borderId="79" xfId="0" applyFont="1" applyFill="1" applyBorder="1" applyAlignment="1">
      <alignment horizontal="left" vertical="center" indent="1"/>
    </xf>
    <xf numFmtId="0" fontId="7" fillId="0" borderId="167" xfId="0" applyFont="1" applyBorder="1" applyAlignment="1">
      <alignment horizontal="left" vertical="center" indent="1"/>
    </xf>
    <xf numFmtId="0" fontId="7" fillId="0" borderId="76" xfId="0" applyFont="1" applyBorder="1" applyAlignment="1">
      <alignment horizontal="left" vertical="center" indent="1"/>
    </xf>
    <xf numFmtId="0" fontId="134" fillId="0" borderId="37" xfId="0" applyFont="1" applyFill="1" applyBorder="1" applyAlignment="1">
      <alignment horizontal="left" vertical="center" wrapText="1"/>
    </xf>
    <xf numFmtId="0" fontId="134" fillId="0" borderId="38" xfId="0" applyFont="1" applyFill="1" applyBorder="1" applyAlignment="1">
      <alignment horizontal="left" vertical="center" wrapText="1"/>
    </xf>
    <xf numFmtId="0" fontId="134" fillId="0" borderId="39" xfId="0" applyFont="1" applyFill="1" applyBorder="1" applyAlignment="1">
      <alignment horizontal="left" vertical="center" wrapText="1"/>
    </xf>
    <xf numFmtId="0" fontId="134" fillId="0" borderId="40" xfId="0" applyFont="1" applyFill="1" applyBorder="1" applyAlignment="1">
      <alignment horizontal="left" vertical="center" wrapText="1"/>
    </xf>
    <xf numFmtId="0" fontId="134" fillId="0" borderId="45" xfId="0" applyFont="1" applyFill="1" applyBorder="1" applyAlignment="1">
      <alignment horizontal="left" vertical="center" wrapText="1"/>
    </xf>
    <xf numFmtId="0" fontId="134" fillId="0" borderId="43" xfId="0" applyFont="1" applyFill="1" applyBorder="1" applyAlignment="1">
      <alignment horizontal="left" vertical="center" wrapText="1"/>
    </xf>
    <xf numFmtId="0" fontId="11" fillId="2" borderId="145" xfId="0" applyFont="1" applyFill="1" applyBorder="1" applyAlignment="1">
      <alignment horizontal="center" vertical="center"/>
    </xf>
    <xf numFmtId="0" fontId="11" fillId="2" borderId="172" xfId="0" applyFont="1" applyFill="1" applyBorder="1" applyAlignment="1">
      <alignment horizontal="center" vertical="center"/>
    </xf>
    <xf numFmtId="0" fontId="121" fillId="19" borderId="78" xfId="0" applyFont="1" applyFill="1"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16" fillId="20" borderId="85" xfId="0" applyNumberFormat="1" applyFont="1" applyFill="1" applyBorder="1" applyAlignment="1">
      <alignment horizontal="center" vertical="center" wrapText="1"/>
    </xf>
    <xf numFmtId="0" fontId="16" fillId="20" borderId="77" xfId="0" applyNumberFormat="1" applyFont="1" applyFill="1" applyBorder="1" applyAlignment="1">
      <alignment horizontal="center" vertical="center" wrapText="1"/>
    </xf>
    <xf numFmtId="0" fontId="16" fillId="20" borderId="78" xfId="0" applyNumberFormat="1" applyFont="1" applyFill="1" applyBorder="1" applyAlignment="1">
      <alignment horizontal="center" vertical="center" wrapText="1"/>
    </xf>
    <xf numFmtId="0" fontId="16" fillId="21" borderId="78" xfId="0" applyFont="1" applyFill="1" applyBorder="1" applyAlignment="1">
      <alignment horizontal="center" vertical="center" wrapText="1"/>
    </xf>
    <xf numFmtId="0" fontId="134" fillId="0" borderId="0" xfId="0" applyFont="1" applyFill="1" applyBorder="1" applyAlignment="1">
      <alignment horizontal="left" vertical="center" wrapText="1"/>
    </xf>
    <xf numFmtId="0" fontId="134" fillId="0" borderId="90" xfId="0" applyFont="1" applyFill="1" applyBorder="1" applyAlignment="1">
      <alignment horizontal="left" vertical="center" wrapText="1"/>
    </xf>
    <xf numFmtId="49" fontId="17" fillId="3" borderId="85" xfId="0" applyNumberFormat="1" applyFont="1" applyFill="1" applyBorder="1" applyAlignment="1">
      <alignment horizontal="center" vertical="center" wrapText="1"/>
    </xf>
    <xf numFmtId="49" fontId="17" fillId="3" borderId="221" xfId="0" applyNumberFormat="1" applyFont="1" applyFill="1" applyBorder="1" applyAlignment="1">
      <alignment horizontal="center" vertical="center" wrapText="1"/>
    </xf>
    <xf numFmtId="0" fontId="94" fillId="18" borderId="85" xfId="0" applyFont="1" applyFill="1" applyBorder="1" applyAlignment="1">
      <alignment horizontal="center" vertical="center" wrapText="1"/>
    </xf>
    <xf numFmtId="0" fontId="94" fillId="18" borderId="78" xfId="0" applyFont="1" applyFill="1" applyBorder="1" applyAlignment="1">
      <alignment horizontal="center" vertical="center" wrapText="1"/>
    </xf>
    <xf numFmtId="0" fontId="7" fillId="8" borderId="167" xfId="0" applyFont="1" applyFill="1" applyBorder="1" applyAlignment="1">
      <alignment horizontal="left" vertical="center" indent="1"/>
    </xf>
    <xf numFmtId="0" fontId="7" fillId="8" borderId="76" xfId="0" applyFont="1" applyFill="1" applyBorder="1" applyAlignment="1">
      <alignment horizontal="left" vertical="center" indent="1"/>
    </xf>
    <xf numFmtId="0" fontId="7" fillId="0" borderId="83" xfId="0" applyFont="1" applyFill="1" applyBorder="1" applyAlignment="1">
      <alignment horizontal="left" vertical="center" indent="1"/>
    </xf>
    <xf numFmtId="0" fontId="16" fillId="18" borderId="110" xfId="0" applyFont="1" applyFill="1" applyBorder="1" applyAlignment="1">
      <alignment horizontal="center" vertical="center" wrapText="1"/>
    </xf>
    <xf numFmtId="0" fontId="16" fillId="18" borderId="111" xfId="0" applyFont="1" applyFill="1" applyBorder="1" applyAlignment="1">
      <alignment horizontal="center" vertical="center" wrapText="1"/>
    </xf>
    <xf numFmtId="0" fontId="16" fillId="18" borderId="112" xfId="0" applyFont="1" applyFill="1" applyBorder="1" applyAlignment="1">
      <alignment horizontal="center" vertical="center" wrapText="1"/>
    </xf>
    <xf numFmtId="49" fontId="17" fillId="3" borderId="110" xfId="0" applyNumberFormat="1" applyFont="1" applyFill="1" applyBorder="1" applyAlignment="1">
      <alignment horizontal="center" vertical="center" wrapText="1"/>
    </xf>
    <xf numFmtId="49" fontId="17" fillId="3" borderId="111" xfId="0" applyNumberFormat="1" applyFont="1" applyFill="1" applyBorder="1" applyAlignment="1">
      <alignment horizontal="center" vertical="center" wrapText="1"/>
    </xf>
    <xf numFmtId="49" fontId="17" fillId="3" borderId="112" xfId="0" applyNumberFormat="1" applyFont="1" applyFill="1" applyBorder="1" applyAlignment="1">
      <alignment horizontal="center" vertical="center" wrapText="1"/>
    </xf>
    <xf numFmtId="0" fontId="16" fillId="21" borderId="110" xfId="0" applyFont="1" applyFill="1" applyBorder="1" applyAlignment="1">
      <alignment horizontal="center" vertical="center" wrapText="1"/>
    </xf>
    <xf numFmtId="0" fontId="0" fillId="21" borderId="111" xfId="0" applyFill="1" applyBorder="1" applyAlignment="1">
      <alignment horizontal="center" vertical="center" wrapText="1"/>
    </xf>
    <xf numFmtId="0" fontId="0" fillId="21" borderId="112" xfId="0" applyFill="1" applyBorder="1" applyAlignment="1">
      <alignment horizontal="center" vertical="center" wrapText="1"/>
    </xf>
    <xf numFmtId="0" fontId="16" fillId="11" borderId="110" xfId="0" applyFont="1" applyFill="1" applyBorder="1" applyAlignment="1">
      <alignment horizontal="center" vertical="center" wrapText="1"/>
    </xf>
    <xf numFmtId="0" fontId="0" fillId="11" borderId="111" xfId="0" applyFill="1" applyBorder="1" applyAlignment="1">
      <alignment horizontal="center" vertical="center" wrapText="1"/>
    </xf>
    <xf numFmtId="0" fontId="0" fillId="11" borderId="112" xfId="0" applyFill="1" applyBorder="1" applyAlignment="1">
      <alignment horizontal="center" vertical="center" wrapText="1"/>
    </xf>
    <xf numFmtId="0" fontId="17" fillId="19" borderId="110" xfId="0" applyFont="1" applyFill="1" applyBorder="1" applyAlignment="1">
      <alignment horizontal="center" vertical="center" wrapText="1"/>
    </xf>
    <xf numFmtId="0" fontId="17" fillId="19" borderId="111" xfId="0" applyFont="1" applyFill="1" applyBorder="1" applyAlignment="1">
      <alignment horizontal="center" vertical="center" wrapText="1"/>
    </xf>
    <xf numFmtId="0" fontId="17" fillId="19" borderId="112" xfId="0" applyFont="1" applyFill="1" applyBorder="1" applyAlignment="1">
      <alignment horizontal="center" vertical="center" wrapText="1"/>
    </xf>
    <xf numFmtId="0" fontId="16" fillId="12" borderId="110" xfId="0" applyFont="1" applyFill="1" applyBorder="1" applyAlignment="1">
      <alignment horizontal="center" vertical="center" wrapText="1"/>
    </xf>
    <xf numFmtId="0" fontId="16" fillId="12" borderId="111" xfId="0" applyFont="1" applyFill="1" applyBorder="1" applyAlignment="1">
      <alignment horizontal="center" vertical="center" wrapText="1"/>
    </xf>
    <xf numFmtId="0" fontId="16" fillId="12" borderId="112" xfId="0" applyFont="1" applyFill="1" applyBorder="1" applyAlignment="1">
      <alignment horizontal="center" vertical="center" wrapText="1"/>
    </xf>
    <xf numFmtId="0" fontId="16" fillId="20" borderId="111" xfId="0" applyNumberFormat="1" applyFont="1" applyFill="1" applyBorder="1" applyAlignment="1">
      <alignment horizontal="center" vertical="center" wrapText="1"/>
    </xf>
    <xf numFmtId="0" fontId="0" fillId="20" borderId="111" xfId="0" applyFill="1" applyBorder="1" applyAlignment="1">
      <alignment horizontal="center" vertical="center" wrapText="1"/>
    </xf>
    <xf numFmtId="0" fontId="0" fillId="20" borderId="112" xfId="0" applyFill="1" applyBorder="1" applyAlignment="1">
      <alignment horizontal="center" vertical="center" wrapText="1"/>
    </xf>
    <xf numFmtId="0" fontId="75" fillId="0" borderId="23" xfId="0" applyFont="1" applyFill="1" applyBorder="1" applyAlignment="1" applyProtection="1">
      <alignment horizontal="center" vertical="center"/>
    </xf>
    <xf numFmtId="0" fontId="75" fillId="0" borderId="20" xfId="0" applyFont="1" applyFill="1" applyBorder="1" applyAlignment="1" applyProtection="1">
      <alignment horizontal="center" vertical="center"/>
    </xf>
    <xf numFmtId="0" fontId="75" fillId="0" borderId="21" xfId="0" applyFont="1" applyFill="1" applyBorder="1" applyAlignment="1" applyProtection="1">
      <alignment horizontal="center" vertical="center"/>
    </xf>
    <xf numFmtId="0" fontId="78" fillId="2" borderId="215" xfId="0" applyFont="1" applyFill="1" applyBorder="1" applyAlignment="1">
      <alignment horizontal="center" vertical="center"/>
    </xf>
    <xf numFmtId="0" fontId="78" fillId="2" borderId="210" xfId="0" applyFont="1" applyFill="1" applyBorder="1" applyAlignment="1">
      <alignment horizontal="center" vertical="center"/>
    </xf>
    <xf numFmtId="0" fontId="78" fillId="2" borderId="209" xfId="0" applyFont="1" applyFill="1" applyBorder="1" applyAlignment="1">
      <alignment horizontal="center" vertical="center"/>
    </xf>
    <xf numFmtId="0" fontId="136" fillId="0" borderId="0" xfId="0" applyFont="1" applyBorder="1" applyAlignment="1">
      <alignment horizontal="left" vertical="center" wrapText="1"/>
    </xf>
    <xf numFmtId="0" fontId="83" fillId="2" borderId="3" xfId="0" applyFont="1" applyFill="1" applyBorder="1" applyAlignment="1">
      <alignment horizontal="left" vertical="center"/>
    </xf>
    <xf numFmtId="0" fontId="83" fillId="2" borderId="0" xfId="0" applyFont="1" applyFill="1" applyBorder="1" applyAlignment="1">
      <alignment horizontal="left" vertical="center"/>
    </xf>
    <xf numFmtId="0" fontId="83" fillId="2" borderId="238" xfId="0" applyFont="1" applyFill="1" applyBorder="1" applyAlignment="1">
      <alignment horizontal="left" vertical="center"/>
    </xf>
    <xf numFmtId="0" fontId="21" fillId="13" borderId="252" xfId="0" applyFont="1" applyFill="1" applyBorder="1" applyAlignment="1">
      <alignment horizontal="center" vertical="center" wrapText="1"/>
    </xf>
    <xf numFmtId="0" fontId="27" fillId="0" borderId="349" xfId="0" applyFont="1" applyBorder="1" applyAlignment="1">
      <alignment horizontal="center" vertical="center"/>
    </xf>
    <xf numFmtId="0" fontId="28" fillId="2" borderId="176" xfId="0" applyFont="1" applyFill="1" applyBorder="1" applyAlignment="1">
      <alignment horizontal="center" vertical="center"/>
    </xf>
    <xf numFmtId="0" fontId="28" fillId="2" borderId="145" xfId="0" applyFont="1" applyFill="1" applyBorder="1" applyAlignment="1">
      <alignment horizontal="center" vertical="center"/>
    </xf>
    <xf numFmtId="0" fontId="28" fillId="2" borderId="172" xfId="0" applyFont="1" applyFill="1" applyBorder="1" applyAlignment="1">
      <alignment horizontal="center" vertical="center"/>
    </xf>
    <xf numFmtId="0" fontId="78" fillId="2" borderId="176" xfId="0" applyFont="1" applyFill="1" applyBorder="1" applyAlignment="1">
      <alignment horizontal="center" vertical="center"/>
    </xf>
    <xf numFmtId="0" fontId="78" fillId="2" borderId="145" xfId="0" applyFont="1" applyFill="1" applyBorder="1" applyAlignment="1">
      <alignment horizontal="center" vertical="center"/>
    </xf>
    <xf numFmtId="0" fontId="78" fillId="2" borderId="172" xfId="0" applyFont="1" applyFill="1" applyBorder="1" applyAlignment="1">
      <alignment horizontal="center" vertical="center"/>
    </xf>
    <xf numFmtId="0" fontId="4" fillId="0" borderId="35" xfId="0" applyFont="1" applyBorder="1" applyAlignment="1">
      <alignment horizontal="left" vertical="center"/>
    </xf>
    <xf numFmtId="0" fontId="12" fillId="0" borderId="47" xfId="0" applyFont="1" applyBorder="1" applyAlignment="1">
      <alignment horizontal="left" vertical="center"/>
    </xf>
    <xf numFmtId="165" fontId="69" fillId="0" borderId="41" xfId="0" applyNumberFormat="1" applyFont="1" applyBorder="1" applyAlignment="1">
      <alignment horizontal="center" vertical="center" wrapText="1"/>
    </xf>
    <xf numFmtId="165" fontId="69" fillId="0" borderId="73" xfId="0" applyNumberFormat="1" applyFont="1" applyBorder="1" applyAlignment="1">
      <alignment horizontal="center" vertical="center" wrapText="1"/>
    </xf>
    <xf numFmtId="165" fontId="69" fillId="0" borderId="42" xfId="0" applyNumberFormat="1" applyFont="1" applyBorder="1" applyAlignment="1">
      <alignment horizontal="center" vertical="center" wrapText="1"/>
    </xf>
    <xf numFmtId="165" fontId="69" fillId="0" borderId="74" xfId="0" applyNumberFormat="1" applyFont="1" applyBorder="1" applyAlignment="1">
      <alignment horizontal="center" vertical="center" wrapText="1"/>
    </xf>
    <xf numFmtId="0" fontId="28" fillId="2" borderId="93" xfId="0" applyFont="1" applyFill="1" applyBorder="1" applyAlignment="1">
      <alignment horizontal="center" vertical="center"/>
    </xf>
    <xf numFmtId="0" fontId="28" fillId="2" borderId="89" xfId="0" applyFont="1" applyFill="1" applyBorder="1" applyAlignment="1">
      <alignment horizontal="center" vertical="center"/>
    </xf>
    <xf numFmtId="0" fontId="28" fillId="2" borderId="348" xfId="0" applyFont="1" applyFill="1" applyBorder="1" applyAlignment="1">
      <alignment horizontal="center" vertical="center"/>
    </xf>
    <xf numFmtId="0" fontId="27" fillId="0" borderId="93" xfId="0" applyFont="1" applyBorder="1" applyAlignment="1">
      <alignment horizontal="center" vertical="center"/>
    </xf>
    <xf numFmtId="0" fontId="27" fillId="0" borderId="89" xfId="0" applyFont="1" applyBorder="1" applyAlignment="1">
      <alignment horizontal="center" vertical="center"/>
    </xf>
    <xf numFmtId="0" fontId="27" fillId="0" borderId="204" xfId="0" applyFont="1" applyBorder="1" applyAlignment="1">
      <alignment horizontal="center" vertical="center"/>
    </xf>
    <xf numFmtId="0" fontId="28" fillId="2" borderId="211" xfId="0" applyFont="1" applyFill="1" applyBorder="1" applyAlignment="1">
      <alignment horizontal="center" vertical="center"/>
    </xf>
    <xf numFmtId="0" fontId="86" fillId="0" borderId="0" xfId="0" applyFont="1" applyAlignment="1">
      <alignment horizontal="left" vertical="center" wrapText="1"/>
    </xf>
    <xf numFmtId="165" fontId="69" fillId="0" borderId="29" xfId="0" applyNumberFormat="1" applyFont="1" applyBorder="1" applyAlignment="1">
      <alignment horizontal="center" vertical="center" wrapText="1"/>
    </xf>
    <xf numFmtId="165" fontId="69" fillId="0" borderId="445" xfId="0" applyNumberFormat="1" applyFont="1" applyBorder="1" applyAlignment="1">
      <alignment horizontal="center" vertical="center" wrapText="1"/>
    </xf>
    <xf numFmtId="165" fontId="69" fillId="0" borderId="206" xfId="0" applyNumberFormat="1" applyFont="1" applyBorder="1" applyAlignment="1">
      <alignment horizontal="center" vertical="center" wrapText="1"/>
    </xf>
    <xf numFmtId="165" fontId="69" fillId="0" borderId="207" xfId="0" applyNumberFormat="1" applyFont="1" applyBorder="1" applyAlignment="1">
      <alignment horizontal="center" vertical="center" wrapText="1"/>
    </xf>
    <xf numFmtId="0" fontId="136" fillId="0" borderId="0" xfId="0" applyFont="1" applyBorder="1" applyAlignment="1">
      <alignment vertical="center" wrapText="1"/>
    </xf>
    <xf numFmtId="0" fontId="12" fillId="0" borderId="35" xfId="0" applyFont="1" applyBorder="1" applyAlignment="1">
      <alignment horizontal="left" vertical="center"/>
    </xf>
    <xf numFmtId="195" fontId="69" fillId="0" borderId="41" xfId="0" applyNumberFormat="1" applyFont="1" applyBorder="1" applyAlignment="1">
      <alignment vertical="center"/>
    </xf>
    <xf numFmtId="195" fontId="69" fillId="0" borderId="73" xfId="0" applyNumberFormat="1" applyFont="1" applyBorder="1" applyAlignment="1">
      <alignment vertical="center"/>
    </xf>
    <xf numFmtId="195" fontId="69" fillId="0" borderId="42" xfId="0" applyNumberFormat="1" applyFont="1" applyBorder="1" applyAlignment="1">
      <alignment vertical="center"/>
    </xf>
    <xf numFmtId="195" fontId="69" fillId="0" borderId="74" xfId="0" applyNumberFormat="1" applyFont="1" applyBorder="1" applyAlignment="1">
      <alignment vertical="center"/>
    </xf>
    <xf numFmtId="195" fontId="69" fillId="0" borderId="438" xfId="0" applyNumberFormat="1" applyFont="1" applyBorder="1" applyAlignment="1">
      <alignment vertical="center"/>
    </xf>
    <xf numFmtId="195" fontId="69" fillId="0" borderId="446" xfId="0" applyNumberFormat="1" applyFont="1" applyBorder="1" applyAlignment="1">
      <alignment vertical="center"/>
    </xf>
    <xf numFmtId="0" fontId="83" fillId="2" borderId="432" xfId="0" applyFont="1" applyFill="1" applyBorder="1" applyAlignment="1">
      <alignment horizontal="center" vertical="center"/>
    </xf>
    <xf numFmtId="0" fontId="83" fillId="2" borderId="86" xfId="0" applyFont="1" applyFill="1" applyBorder="1" applyAlignment="1">
      <alignment horizontal="center" vertical="center"/>
    </xf>
    <xf numFmtId="0" fontId="83" fillId="2" borderId="301" xfId="0" applyFont="1" applyFill="1" applyBorder="1" applyAlignment="1">
      <alignment horizontal="center" vertical="center"/>
    </xf>
    <xf numFmtId="0" fontId="28" fillId="2" borderId="204" xfId="0" applyFont="1" applyFill="1" applyBorder="1" applyAlignment="1">
      <alignment horizontal="center" vertical="center"/>
    </xf>
    <xf numFmtId="0" fontId="27" fillId="0" borderId="444" xfId="0" applyFont="1" applyBorder="1" applyAlignment="1">
      <alignment horizontal="center" vertical="center"/>
    </xf>
    <xf numFmtId="0" fontId="114" fillId="0" borderId="0" xfId="0" applyFont="1" applyBorder="1" applyAlignment="1">
      <alignment horizontal="left" vertical="center" wrapText="1"/>
    </xf>
    <xf numFmtId="0" fontId="42" fillId="0" borderId="37" xfId="0" applyFont="1" applyBorder="1" applyAlignment="1">
      <alignment horizontal="center" vertical="center" wrapText="1"/>
    </xf>
    <xf numFmtId="0" fontId="42" fillId="0" borderId="86" xfId="0" applyFont="1" applyBorder="1" applyAlignment="1">
      <alignment horizontal="center" vertical="center" wrapText="1"/>
    </xf>
    <xf numFmtId="0" fontId="42" fillId="0" borderId="301" xfId="0" applyFont="1" applyBorder="1" applyAlignment="1">
      <alignment horizontal="center" vertical="center" wrapText="1"/>
    </xf>
    <xf numFmtId="0" fontId="42" fillId="0" borderId="215" xfId="0" applyFont="1" applyBorder="1" applyAlignment="1">
      <alignment horizontal="center" vertical="center" wrapText="1"/>
    </xf>
    <xf numFmtId="0" fontId="42" fillId="0" borderId="210" xfId="0" applyFont="1" applyBorder="1" applyAlignment="1">
      <alignment horizontal="center" vertical="center" wrapText="1"/>
    </xf>
    <xf numFmtId="0" fontId="42" fillId="0" borderId="209" xfId="0" applyFont="1" applyBorder="1" applyAlignment="1">
      <alignment horizontal="center" vertical="center" wrapText="1"/>
    </xf>
    <xf numFmtId="0" fontId="28" fillId="2" borderId="214" xfId="0" applyFont="1" applyFill="1" applyBorder="1" applyAlignment="1">
      <alignment horizontal="center" vertical="center"/>
    </xf>
    <xf numFmtId="0" fontId="28" fillId="2" borderId="240" xfId="0" applyFont="1" applyFill="1" applyBorder="1" applyAlignment="1">
      <alignment horizontal="center" vertical="center"/>
    </xf>
    <xf numFmtId="0" fontId="28" fillId="2" borderId="216" xfId="0" applyFont="1" applyFill="1" applyBorder="1" applyAlignment="1">
      <alignment horizontal="center" vertical="center"/>
    </xf>
    <xf numFmtId="0" fontId="21" fillId="13" borderId="408" xfId="0" applyFont="1" applyFill="1" applyBorder="1" applyAlignment="1">
      <alignment horizontal="left" vertical="center" wrapText="1"/>
    </xf>
    <xf numFmtId="0" fontId="21" fillId="13" borderId="86" xfId="0" applyFont="1" applyFill="1" applyBorder="1" applyAlignment="1">
      <alignment horizontal="left" vertical="center" wrapText="1"/>
    </xf>
    <xf numFmtId="0" fontId="21" fillId="13" borderId="301" xfId="0" applyFont="1" applyFill="1" applyBorder="1" applyAlignment="1">
      <alignment horizontal="left" vertical="center" wrapText="1"/>
    </xf>
    <xf numFmtId="0" fontId="21" fillId="13" borderId="83" xfId="0" applyFont="1" applyFill="1" applyBorder="1" applyAlignment="1">
      <alignment horizontal="left" vertical="center" wrapText="1"/>
    </xf>
    <xf numFmtId="0" fontId="21" fillId="13" borderId="0" xfId="0" applyFont="1" applyFill="1" applyBorder="1" applyAlignment="1">
      <alignment horizontal="left" vertical="center" wrapText="1"/>
    </xf>
    <xf numFmtId="0" fontId="21" fillId="13" borderId="238" xfId="0" applyFont="1" applyFill="1" applyBorder="1" applyAlignment="1">
      <alignment horizontal="left" vertical="center" wrapText="1"/>
    </xf>
    <xf numFmtId="0" fontId="21" fillId="13" borderId="406" xfId="0" applyFont="1" applyFill="1" applyBorder="1" applyAlignment="1">
      <alignment horizontal="left" vertical="center" wrapText="1"/>
    </xf>
    <xf numFmtId="0" fontId="21" fillId="13" borderId="210" xfId="0" applyFont="1" applyFill="1" applyBorder="1" applyAlignment="1">
      <alignment horizontal="left" vertical="center" wrapText="1"/>
    </xf>
    <xf numFmtId="0" fontId="21" fillId="13" borderId="209" xfId="0" applyFont="1" applyFill="1" applyBorder="1" applyAlignment="1">
      <alignment horizontal="left" vertical="center" wrapText="1"/>
    </xf>
    <xf numFmtId="0" fontId="83" fillId="2" borderId="407" xfId="0" applyFont="1" applyFill="1" applyBorder="1" applyAlignment="1">
      <alignment horizontal="left" vertical="center"/>
    </xf>
    <xf numFmtId="0" fontId="83" fillId="2" borderId="20" xfId="0" applyFont="1" applyFill="1" applyBorder="1" applyAlignment="1">
      <alignment horizontal="left" vertical="center"/>
    </xf>
    <xf numFmtId="0" fontId="83" fillId="2" borderId="289" xfId="0" applyFont="1" applyFill="1" applyBorder="1" applyAlignment="1">
      <alignment horizontal="left" vertical="center"/>
    </xf>
    <xf numFmtId="0" fontId="42" fillId="0" borderId="214" xfId="0" applyFont="1" applyBorder="1" applyAlignment="1">
      <alignment horizontal="center" vertical="center"/>
    </xf>
    <xf numFmtId="0" fontId="42" fillId="0" borderId="240" xfId="0" applyFont="1" applyBorder="1" applyAlignment="1">
      <alignment horizontal="center" vertical="center"/>
    </xf>
    <xf numFmtId="0" fontId="42" fillId="0" borderId="27" xfId="0" applyFont="1" applyBorder="1" applyAlignment="1">
      <alignment horizontal="center" vertical="center"/>
    </xf>
    <xf numFmtId="0" fontId="42" fillId="0" borderId="167" xfId="0" applyFont="1" applyBorder="1" applyAlignment="1">
      <alignment horizontal="center" vertical="center"/>
    </xf>
    <xf numFmtId="0" fontId="42" fillId="0" borderId="119" xfId="0" applyFont="1" applyBorder="1" applyAlignment="1">
      <alignment horizontal="center" vertical="center"/>
    </xf>
    <xf numFmtId="0" fontId="42" fillId="0" borderId="76" xfId="0" applyFont="1" applyBorder="1" applyAlignment="1">
      <alignment horizontal="center" vertical="center"/>
    </xf>
    <xf numFmtId="0" fontId="134" fillId="0" borderId="0" xfId="0" applyFont="1" applyBorder="1" applyAlignment="1">
      <alignment horizontal="left" wrapText="1"/>
    </xf>
    <xf numFmtId="0" fontId="15" fillId="2" borderId="215" xfId="0" applyFont="1" applyFill="1" applyBorder="1" applyAlignment="1">
      <alignment horizontal="center" vertical="center"/>
    </xf>
    <xf numFmtId="0" fontId="15" fillId="2" borderId="210" xfId="0" applyFont="1" applyFill="1" applyBorder="1" applyAlignment="1">
      <alignment horizontal="center" vertical="center"/>
    </xf>
    <xf numFmtId="0" fontId="15" fillId="2" borderId="209" xfId="0" applyFont="1" applyFill="1" applyBorder="1" applyAlignment="1">
      <alignment horizontal="center" vertical="center"/>
    </xf>
    <xf numFmtId="0" fontId="83" fillId="2" borderId="214" xfId="0" applyFont="1" applyFill="1" applyBorder="1" applyAlignment="1">
      <alignment horizontal="center" vertical="center"/>
    </xf>
    <xf numFmtId="0" fontId="83" fillId="2" borderId="240" xfId="0" applyFont="1" applyFill="1" applyBorder="1" applyAlignment="1">
      <alignment horizontal="center" vertical="center"/>
    </xf>
    <xf numFmtId="0" fontId="83" fillId="2" borderId="216" xfId="0" applyFont="1" applyFill="1" applyBorder="1" applyAlignment="1">
      <alignment horizontal="center" vertical="center"/>
    </xf>
    <xf numFmtId="0" fontId="7" fillId="0" borderId="244" xfId="0" applyFont="1" applyFill="1" applyBorder="1" applyAlignment="1" applyProtection="1">
      <alignment horizontal="right" vertical="center"/>
    </xf>
    <xf numFmtId="0" fontId="7" fillId="0" borderId="224" xfId="0" applyFont="1" applyFill="1" applyBorder="1" applyAlignment="1" applyProtection="1">
      <alignment horizontal="right" vertical="center"/>
    </xf>
    <xf numFmtId="0" fontId="15" fillId="2" borderId="269" xfId="0" applyFont="1" applyFill="1" applyBorder="1" applyAlignment="1">
      <alignment horizontal="center" vertical="center"/>
    </xf>
    <xf numFmtId="0" fontId="17" fillId="0" borderId="23" xfId="0" applyFont="1" applyFill="1" applyBorder="1" applyAlignment="1" applyProtection="1">
      <alignment horizontal="center" vertical="center"/>
    </xf>
    <xf numFmtId="0" fontId="17" fillId="0" borderId="21" xfId="0" applyFont="1" applyFill="1" applyBorder="1" applyAlignment="1" applyProtection="1">
      <alignment horizontal="center" vertical="center"/>
    </xf>
    <xf numFmtId="0" fontId="7" fillId="0" borderId="255" xfId="0" applyFont="1" applyFill="1" applyBorder="1" applyAlignment="1" applyProtection="1">
      <alignment horizontal="right" vertical="center"/>
    </xf>
    <xf numFmtId="0" fontId="7" fillId="0" borderId="256" xfId="0" applyFont="1" applyFill="1" applyBorder="1" applyAlignment="1" applyProtection="1">
      <alignment horizontal="right" vertical="center"/>
    </xf>
    <xf numFmtId="0" fontId="7" fillId="0" borderId="257" xfId="0" applyFont="1" applyFill="1" applyBorder="1" applyAlignment="1" applyProtection="1">
      <alignment horizontal="right" vertical="center"/>
    </xf>
    <xf numFmtId="0" fontId="7" fillId="0" borderId="241" xfId="0" applyFont="1" applyFill="1" applyBorder="1" applyAlignment="1" applyProtection="1">
      <alignment horizontal="right" vertical="center"/>
    </xf>
    <xf numFmtId="0" fontId="132" fillId="16" borderId="421" xfId="0" applyFont="1" applyFill="1" applyBorder="1" applyAlignment="1">
      <alignment horizontal="center" vertical="center"/>
    </xf>
    <xf numFmtId="0" fontId="132" fillId="16" borderId="422" xfId="0" applyFont="1" applyFill="1" applyBorder="1" applyAlignment="1">
      <alignment horizontal="center" vertical="center"/>
    </xf>
    <xf numFmtId="0" fontId="132" fillId="16" borderId="423" xfId="0" applyFont="1" applyFill="1" applyBorder="1" applyAlignment="1">
      <alignment horizontal="center" vertical="center"/>
    </xf>
    <xf numFmtId="0" fontId="28" fillId="2" borderId="3" xfId="0" applyFont="1" applyFill="1" applyBorder="1" applyAlignment="1">
      <alignment horizontal="left" vertical="center"/>
    </xf>
    <xf numFmtId="0" fontId="28" fillId="2" borderId="0" xfId="0" applyFont="1" applyFill="1" applyBorder="1" applyAlignment="1">
      <alignment horizontal="left" vertical="center"/>
    </xf>
    <xf numFmtId="0" fontId="28" fillId="2" borderId="390" xfId="0" applyFont="1" applyFill="1" applyBorder="1" applyAlignment="1">
      <alignment horizontal="left" vertical="center"/>
    </xf>
    <xf numFmtId="0" fontId="21" fillId="13" borderId="390" xfId="0" applyFont="1" applyFill="1" applyBorder="1" applyAlignment="1">
      <alignment horizontal="center" vertical="center" wrapText="1"/>
    </xf>
    <xf numFmtId="0" fontId="21" fillId="13" borderId="424" xfId="0" applyFont="1" applyFill="1" applyBorder="1" applyAlignment="1">
      <alignment horizontal="center" vertical="center" wrapText="1"/>
    </xf>
    <xf numFmtId="0" fontId="21" fillId="13" borderId="397" xfId="0" applyFont="1" applyFill="1" applyBorder="1" applyAlignment="1">
      <alignment horizontal="center" vertical="center" wrapText="1"/>
    </xf>
    <xf numFmtId="189" fontId="80" fillId="15" borderId="262" xfId="1" applyNumberFormat="1" applyFont="1" applyFill="1" applyBorder="1" applyAlignment="1" applyProtection="1">
      <alignment horizontal="center" vertical="center"/>
    </xf>
    <xf numFmtId="189" fontId="80" fillId="15" borderId="212" xfId="1" applyNumberFormat="1" applyFont="1" applyFill="1" applyBorder="1" applyAlignment="1" applyProtection="1">
      <alignment horizontal="center" vertical="center"/>
    </xf>
    <xf numFmtId="189" fontId="80" fillId="15" borderId="213" xfId="1" applyNumberFormat="1" applyFont="1" applyFill="1" applyBorder="1" applyAlignment="1" applyProtection="1">
      <alignment horizontal="center" vertical="center"/>
    </xf>
    <xf numFmtId="189" fontId="80" fillId="15" borderId="264" xfId="1" applyNumberFormat="1" applyFont="1" applyFill="1" applyBorder="1" applyAlignment="1" applyProtection="1">
      <alignment horizontal="center" vertical="center"/>
    </xf>
    <xf numFmtId="189" fontId="80" fillId="15" borderId="34" xfId="1" applyNumberFormat="1" applyFont="1" applyFill="1" applyBorder="1" applyAlignment="1" applyProtection="1">
      <alignment horizontal="center" vertical="center"/>
    </xf>
    <xf numFmtId="189" fontId="80" fillId="15" borderId="44" xfId="1" applyNumberFormat="1" applyFont="1" applyFill="1" applyBorder="1" applyAlignment="1" applyProtection="1">
      <alignment horizontal="center" vertical="center"/>
    </xf>
    <xf numFmtId="0" fontId="7" fillId="0" borderId="45" xfId="0" applyFont="1" applyFill="1" applyBorder="1" applyAlignment="1" applyProtection="1">
      <alignment horizontal="right" vertical="center"/>
    </xf>
    <xf numFmtId="0" fontId="7" fillId="0" borderId="43" xfId="0" applyFont="1" applyFill="1" applyBorder="1" applyAlignment="1" applyProtection="1">
      <alignment horizontal="right" vertical="center"/>
    </xf>
    <xf numFmtId="0" fontId="7" fillId="0" borderId="254" xfId="0" applyFont="1" applyFill="1" applyBorder="1" applyAlignment="1" applyProtection="1">
      <alignment horizontal="right" vertical="center"/>
    </xf>
    <xf numFmtId="0" fontId="7" fillId="0" borderId="237" xfId="0" applyFont="1" applyFill="1" applyBorder="1" applyAlignment="1" applyProtection="1">
      <alignment horizontal="right" vertical="center"/>
    </xf>
    <xf numFmtId="0" fontId="7" fillId="0" borderId="23" xfId="0" applyFont="1" applyFill="1" applyBorder="1" applyAlignment="1" applyProtection="1">
      <alignment horizontal="right" vertical="center"/>
    </xf>
    <xf numFmtId="0" fontId="7" fillId="0" borderId="21" xfId="0" applyFont="1" applyFill="1" applyBorder="1" applyAlignment="1" applyProtection="1">
      <alignment horizontal="right" vertical="center"/>
    </xf>
    <xf numFmtId="0" fontId="7" fillId="0" borderId="246" xfId="0" applyFont="1" applyFill="1" applyBorder="1" applyAlignment="1" applyProtection="1">
      <alignment horizontal="right" vertical="center"/>
    </xf>
    <xf numFmtId="0" fontId="7" fillId="0" borderId="247" xfId="0" applyFont="1" applyFill="1" applyBorder="1" applyAlignment="1" applyProtection="1">
      <alignment horizontal="right" vertical="center"/>
    </xf>
  </cellXfs>
  <cellStyles count="3">
    <cellStyle name="Milliers" xfId="1" builtinId="3"/>
    <cellStyle name="Normal" xfId="0" builtinId="0"/>
    <cellStyle name="Pourcentage" xfId="2" builtinId="5"/>
  </cellStyles>
  <dxfs count="15">
    <dxf>
      <font>
        <b val="0"/>
        <i val="0"/>
        <strike val="0"/>
        <condense val="0"/>
        <extend val="0"/>
        <outline val="0"/>
        <shadow val="0"/>
        <u val="none"/>
        <vertAlign val="baseline"/>
        <sz val="10"/>
        <color indexed="8"/>
        <name val="Arial"/>
        <scheme val="none"/>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val="0"/>
        <i val="0"/>
        <strike val="0"/>
        <condense val="0"/>
        <extend val="0"/>
        <outline val="0"/>
        <shadow val="0"/>
        <u val="none"/>
        <vertAlign val="baseline"/>
        <sz val="10"/>
        <color indexed="8"/>
        <name val="Arial"/>
        <scheme val="none"/>
      </font>
    </dxf>
    <dxf>
      <font>
        <b/>
        <i val="0"/>
        <strike val="0"/>
        <condense val="0"/>
        <extend val="0"/>
        <outline val="0"/>
        <shadow val="0"/>
        <u val="none"/>
        <vertAlign val="baseline"/>
        <sz val="10"/>
        <color indexed="8"/>
        <name val="Arial"/>
        <scheme val="none"/>
      </font>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78543"/>
      <color rgb="FF0066FF"/>
      <color rgb="FFFF9966"/>
      <color rgb="FF666633"/>
      <color rgb="FFFFFFCC"/>
      <color rgb="FFFFFF99"/>
      <color rgb="FFFF5050"/>
      <color rgb="FFFF0000"/>
      <color rgb="FF996633"/>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6923381152773"/>
          <c:y val="0.20241463978118962"/>
          <c:w val="0.72489330131365803"/>
          <c:h val="0.693446196116006"/>
        </c:manualLayout>
      </c:layout>
      <c:lineChart>
        <c:grouping val="standard"/>
        <c:varyColors val="0"/>
        <c:ser>
          <c:idx val="0"/>
          <c:order val="0"/>
          <c:tx>
            <c:strRef>
              <c:f>'5.Analyse des effectifs'!$C$8</c:f>
              <c:strCache>
                <c:ptCount val="1"/>
                <c:pt idx="0">
                  <c:v>Nombre de salariés</c:v>
                </c:pt>
              </c:strCache>
            </c:strRef>
          </c:tx>
          <c:spPr>
            <a:ln w="34925">
              <a:solidFill>
                <a:schemeClr val="tx1">
                  <a:lumMod val="65000"/>
                  <a:lumOff val="35000"/>
                </a:schemeClr>
              </a:solidFill>
            </a:ln>
          </c:spPr>
          <c:marker>
            <c:symbol val="circle"/>
            <c:size val="7"/>
            <c:spPr>
              <a:solidFill>
                <a:schemeClr val="tx1">
                  <a:lumMod val="65000"/>
                  <a:lumOff val="35000"/>
                </a:schemeClr>
              </a:solidFill>
              <a:ln>
                <a:solidFill>
                  <a:schemeClr val="tx1">
                    <a:lumMod val="65000"/>
                    <a:lumOff val="35000"/>
                  </a:schemeClr>
                </a:solidFill>
              </a:ln>
            </c:spPr>
          </c:marker>
          <c:dLbls>
            <c:txPr>
              <a:bodyPr/>
              <a:lstStyle/>
              <a:p>
                <a:pPr>
                  <a:defRPr sz="1000" b="1">
                    <a:latin typeface="Arial" pitchFamily="34" charset="0"/>
                    <a:cs typeface="Arial" pitchFamily="34" charset="0"/>
                  </a:defRPr>
                </a:pPr>
                <a:endParaRPr lang="fr-FR"/>
              </a:p>
            </c:txPr>
            <c:dLblPos val="t"/>
            <c:showLegendKey val="0"/>
            <c:showVal val="1"/>
            <c:showCatName val="0"/>
            <c:showSerName val="0"/>
            <c:showPercent val="0"/>
            <c:showBubbleSize val="0"/>
            <c:showLeaderLines val="0"/>
          </c:dLbls>
          <c:cat>
            <c:numRef>
              <c:f>'5.Analyse des effectifs'!$B$9:$B$14</c:f>
              <c:numCache>
                <c:formatCode>General</c:formatCode>
                <c:ptCount val="6"/>
                <c:pt idx="0">
                  <c:v>2014</c:v>
                </c:pt>
                <c:pt idx="1">
                  <c:v>2015</c:v>
                </c:pt>
                <c:pt idx="2">
                  <c:v>2016</c:v>
                </c:pt>
                <c:pt idx="3">
                  <c:v>2017</c:v>
                </c:pt>
                <c:pt idx="4">
                  <c:v>2018</c:v>
                </c:pt>
                <c:pt idx="5">
                  <c:v>2019</c:v>
                </c:pt>
              </c:numCache>
            </c:numRef>
          </c:cat>
          <c:val>
            <c:numRef>
              <c:f>'5.Analyse des effectifs'!$C$9:$C$14</c:f>
              <c:numCache>
                <c:formatCode>General</c:formatCode>
                <c:ptCount val="6"/>
                <c:pt idx="0">
                  <c:v>0</c:v>
                </c:pt>
                <c:pt idx="1">
                  <c:v>0</c:v>
                </c:pt>
                <c:pt idx="2">
                  <c:v>0</c:v>
                </c:pt>
                <c:pt idx="3">
                  <c:v>0</c:v>
                </c:pt>
                <c:pt idx="4">
                  <c:v>0</c:v>
                </c:pt>
                <c:pt idx="5">
                  <c:v>0</c:v>
                </c:pt>
              </c:numCache>
            </c:numRef>
          </c:val>
          <c:smooth val="0"/>
        </c:ser>
        <c:ser>
          <c:idx val="1"/>
          <c:order val="1"/>
          <c:tx>
            <c:strRef>
              <c:f>'5.Analyse des effectifs'!$D$8</c:f>
              <c:strCache>
                <c:ptCount val="1"/>
                <c:pt idx="0">
                  <c:v>Nombre ETP</c:v>
                </c:pt>
              </c:strCache>
            </c:strRef>
          </c:tx>
          <c:spPr>
            <a:ln>
              <a:solidFill>
                <a:srgbClr val="CC3300"/>
              </a:solidFill>
            </a:ln>
          </c:spPr>
          <c:marker>
            <c:symbol val="circle"/>
            <c:size val="7"/>
            <c:spPr>
              <a:solidFill>
                <a:srgbClr val="C00000"/>
              </a:solidFill>
            </c:spPr>
          </c:marker>
          <c:dPt>
            <c:idx val="3"/>
            <c:bubble3D val="0"/>
            <c:spPr>
              <a:ln w="34925">
                <a:solidFill>
                  <a:srgbClr val="CC3300"/>
                </a:solidFill>
              </a:ln>
            </c:spPr>
          </c:dPt>
          <c:dLbls>
            <c:txPr>
              <a:bodyPr/>
              <a:lstStyle/>
              <a:p>
                <a:pPr>
                  <a:defRPr sz="1100" b="1"/>
                </a:pPr>
                <a:endParaRPr lang="fr-FR"/>
              </a:p>
            </c:txPr>
            <c:dLblPos val="r"/>
            <c:showLegendKey val="0"/>
            <c:showVal val="1"/>
            <c:showCatName val="0"/>
            <c:showSerName val="0"/>
            <c:showPercent val="0"/>
            <c:showBubbleSize val="0"/>
            <c:showLeaderLines val="0"/>
          </c:dLbls>
          <c:cat>
            <c:numRef>
              <c:f>'5.Analyse des effectifs'!$B$9:$B$14</c:f>
              <c:numCache>
                <c:formatCode>General</c:formatCode>
                <c:ptCount val="6"/>
                <c:pt idx="0">
                  <c:v>2014</c:v>
                </c:pt>
                <c:pt idx="1">
                  <c:v>2015</c:v>
                </c:pt>
                <c:pt idx="2">
                  <c:v>2016</c:v>
                </c:pt>
                <c:pt idx="3">
                  <c:v>2017</c:v>
                </c:pt>
                <c:pt idx="4">
                  <c:v>2018</c:v>
                </c:pt>
                <c:pt idx="5">
                  <c:v>2019</c:v>
                </c:pt>
              </c:numCache>
            </c:numRef>
          </c:cat>
          <c:val>
            <c:numRef>
              <c:f>'5.Analyse des effectifs'!$D$9:$D$14</c:f>
              <c:numCache>
                <c:formatCode>General</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93451008"/>
        <c:axId val="93452544"/>
      </c:lineChart>
      <c:catAx>
        <c:axId val="93451008"/>
        <c:scaling>
          <c:orientation val="minMax"/>
        </c:scaling>
        <c:delete val="0"/>
        <c:axPos val="b"/>
        <c:numFmt formatCode="General" sourceLinked="1"/>
        <c:majorTickMark val="out"/>
        <c:minorTickMark val="none"/>
        <c:tickLblPos val="nextTo"/>
        <c:txPr>
          <a:bodyPr/>
          <a:lstStyle/>
          <a:p>
            <a:pPr>
              <a:defRPr sz="1100" b="1"/>
            </a:pPr>
            <a:endParaRPr lang="fr-FR"/>
          </a:p>
        </c:txPr>
        <c:crossAx val="93452544"/>
        <c:crosses val="autoZero"/>
        <c:auto val="1"/>
        <c:lblAlgn val="ctr"/>
        <c:lblOffset val="100"/>
        <c:noMultiLvlLbl val="0"/>
      </c:catAx>
      <c:valAx>
        <c:axId val="93452544"/>
        <c:scaling>
          <c:orientation val="minMax"/>
        </c:scaling>
        <c:delete val="0"/>
        <c:axPos val="l"/>
        <c:majorGridlines/>
        <c:numFmt formatCode="General" sourceLinked="1"/>
        <c:majorTickMark val="out"/>
        <c:minorTickMark val="none"/>
        <c:tickLblPos val="nextTo"/>
        <c:crossAx val="93451008"/>
        <c:crosses val="autoZero"/>
        <c:crossBetween val="between"/>
      </c:valAx>
    </c:plotArea>
    <c:legend>
      <c:legendPos val="r"/>
      <c:layout>
        <c:manualLayout>
          <c:xMode val="edge"/>
          <c:yMode val="edge"/>
          <c:x val="0.12511560042028783"/>
          <c:y val="4.1521720884393043E-2"/>
          <c:w val="0.72908791587437305"/>
          <c:h val="0.13189405212020094"/>
        </c:manualLayout>
      </c:layout>
      <c:overlay val="0"/>
      <c:txPr>
        <a:bodyPr/>
        <a:lstStyle/>
        <a:p>
          <a:pPr>
            <a:defRPr sz="1200" b="1"/>
          </a:pPr>
          <a:endParaRPr lang="fr-FR"/>
        </a:p>
      </c:txPr>
    </c:legend>
    <c:plotVisOnly val="1"/>
    <c:dispBlanksAs val="zero"/>
    <c:showDLblsOverMax val="0"/>
  </c:chart>
  <c:spPr>
    <a:solidFill>
      <a:schemeClr val="bg2"/>
    </a:solidFill>
  </c:spPr>
  <c:printSettings>
    <c:headerFooter/>
    <c:pageMargins b="0.750000000000003" l="0.70000000000000162" r="0.70000000000000162" t="0.75000000000000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2654872409583"/>
          <c:y val="9.593042660712181E-2"/>
          <c:w val="0.63468286851993105"/>
          <c:h val="0.81061014318444602"/>
        </c:manualLayout>
      </c:layout>
      <c:lineChart>
        <c:grouping val="standard"/>
        <c:varyColors val="0"/>
        <c:ser>
          <c:idx val="0"/>
          <c:order val="0"/>
          <c:tx>
            <c:strRef>
              <c:f>'Sources schémas'!$B$16</c:f>
              <c:strCache>
                <c:ptCount val="1"/>
                <c:pt idx="0">
                  <c:v>Fonds Propres</c:v>
                </c:pt>
              </c:strCache>
            </c:strRef>
          </c:tx>
          <c:spPr>
            <a:ln>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dPt>
            <c:idx val="1"/>
            <c:bubble3D val="0"/>
            <c:spPr>
              <a:ln>
                <a:solidFill>
                  <a:schemeClr val="accent6">
                    <a:lumMod val="75000"/>
                  </a:schemeClr>
                </a:solidFill>
              </a:ln>
            </c:spPr>
          </c:dPt>
          <c:dPt>
            <c:idx val="2"/>
            <c:bubble3D val="0"/>
            <c:spPr>
              <a:ln w="41275">
                <a:solidFill>
                  <a:schemeClr val="accent6">
                    <a:lumMod val="75000"/>
                  </a:schemeClr>
                </a:solidFill>
              </a:ln>
            </c:spPr>
          </c:dPt>
          <c:cat>
            <c:numRef>
              <c:f>'Sources schémas'!$C$15:$E$15</c:f>
              <c:numCache>
                <c:formatCode>General</c:formatCode>
                <c:ptCount val="3"/>
                <c:pt idx="0">
                  <c:v>2014</c:v>
                </c:pt>
                <c:pt idx="1">
                  <c:v>2015</c:v>
                </c:pt>
                <c:pt idx="2" formatCode="0">
                  <c:v>2016</c:v>
                </c:pt>
              </c:numCache>
            </c:numRef>
          </c:cat>
          <c:val>
            <c:numRef>
              <c:f>'Sources schémas'!$C$16:$E$16</c:f>
              <c:numCache>
                <c:formatCode>#,##0</c:formatCode>
                <c:ptCount val="3"/>
                <c:pt idx="0">
                  <c:v>0</c:v>
                </c:pt>
                <c:pt idx="1">
                  <c:v>0</c:v>
                </c:pt>
                <c:pt idx="2">
                  <c:v>0</c:v>
                </c:pt>
              </c:numCache>
            </c:numRef>
          </c:val>
          <c:smooth val="0"/>
        </c:ser>
        <c:ser>
          <c:idx val="1"/>
          <c:order val="1"/>
          <c:tx>
            <c:strRef>
              <c:f>'Sources schémas'!$B$17</c:f>
              <c:strCache>
                <c:ptCount val="1"/>
                <c:pt idx="0">
                  <c:v>Fond de Roulement</c:v>
                </c:pt>
              </c:strCache>
            </c:strRef>
          </c:tx>
          <c:spPr>
            <a:ln w="41275">
              <a:solidFill>
                <a:srgbClr val="92D050"/>
              </a:solidFill>
            </a:ln>
          </c:spPr>
          <c:marker>
            <c:symbol val="circle"/>
            <c:size val="7"/>
            <c:spPr>
              <a:solidFill>
                <a:srgbClr val="92D050"/>
              </a:solidFill>
              <a:ln>
                <a:solidFill>
                  <a:srgbClr val="92D050"/>
                </a:solidFill>
              </a:ln>
            </c:spPr>
          </c:marker>
          <c:cat>
            <c:numRef>
              <c:f>'Sources schémas'!$C$15:$E$15</c:f>
              <c:numCache>
                <c:formatCode>General</c:formatCode>
                <c:ptCount val="3"/>
                <c:pt idx="0">
                  <c:v>2014</c:v>
                </c:pt>
                <c:pt idx="1">
                  <c:v>2015</c:v>
                </c:pt>
                <c:pt idx="2" formatCode="0">
                  <c:v>2016</c:v>
                </c:pt>
              </c:numCache>
            </c:numRef>
          </c:cat>
          <c:val>
            <c:numRef>
              <c:f>'Sources schémas'!$C$17:$E$17</c:f>
              <c:numCache>
                <c:formatCode>#,##0</c:formatCode>
                <c:ptCount val="3"/>
                <c:pt idx="0">
                  <c:v>0</c:v>
                </c:pt>
                <c:pt idx="1">
                  <c:v>0</c:v>
                </c:pt>
                <c:pt idx="2">
                  <c:v>0</c:v>
                </c:pt>
              </c:numCache>
            </c:numRef>
          </c:val>
          <c:smooth val="0"/>
        </c:ser>
        <c:ser>
          <c:idx val="2"/>
          <c:order val="2"/>
          <c:tx>
            <c:strRef>
              <c:f>'Sources schémas'!$B$18</c:f>
              <c:strCache>
                <c:ptCount val="1"/>
                <c:pt idx="0">
                  <c:v>Besoin en Fond de Roulement</c:v>
                </c:pt>
              </c:strCache>
            </c:strRef>
          </c:tx>
          <c:spPr>
            <a:ln w="41275">
              <a:solidFill>
                <a:srgbClr val="00B050"/>
              </a:solidFill>
            </a:ln>
          </c:spPr>
          <c:marker>
            <c:symbol val="circle"/>
            <c:size val="7"/>
            <c:spPr>
              <a:solidFill>
                <a:srgbClr val="00B050"/>
              </a:solidFill>
              <a:ln>
                <a:solidFill>
                  <a:srgbClr val="00B050"/>
                </a:solidFill>
              </a:ln>
            </c:spPr>
          </c:marker>
          <c:cat>
            <c:numRef>
              <c:f>'Sources schémas'!$C$15:$E$15</c:f>
              <c:numCache>
                <c:formatCode>General</c:formatCode>
                <c:ptCount val="3"/>
                <c:pt idx="0">
                  <c:v>2014</c:v>
                </c:pt>
                <c:pt idx="1">
                  <c:v>2015</c:v>
                </c:pt>
                <c:pt idx="2" formatCode="0">
                  <c:v>2016</c:v>
                </c:pt>
              </c:numCache>
            </c:numRef>
          </c:cat>
          <c:val>
            <c:numRef>
              <c:f>'Sources schémas'!$C$18:$E$18</c:f>
              <c:numCache>
                <c:formatCode>#,##0</c:formatCode>
                <c:ptCount val="3"/>
                <c:pt idx="0">
                  <c:v>0</c:v>
                </c:pt>
                <c:pt idx="1">
                  <c:v>0</c:v>
                </c:pt>
                <c:pt idx="2">
                  <c:v>0</c:v>
                </c:pt>
              </c:numCache>
            </c:numRef>
          </c:val>
          <c:smooth val="0"/>
        </c:ser>
        <c:ser>
          <c:idx val="3"/>
          <c:order val="3"/>
          <c:tx>
            <c:strRef>
              <c:f>'Sources schémas'!$B$19</c:f>
              <c:strCache>
                <c:ptCount val="1"/>
                <c:pt idx="0">
                  <c:v>Trésorerie Nette</c:v>
                </c:pt>
              </c:strCache>
            </c:strRef>
          </c:tx>
          <c:spPr>
            <a:ln w="41275">
              <a:solidFill>
                <a:schemeClr val="bg2">
                  <a:lumMod val="50000"/>
                </a:schemeClr>
              </a:solidFill>
            </a:ln>
          </c:spPr>
          <c:marker>
            <c:symbol val="circle"/>
            <c:size val="9"/>
            <c:spPr>
              <a:solidFill>
                <a:schemeClr val="bg2">
                  <a:lumMod val="50000"/>
                </a:schemeClr>
              </a:solidFill>
              <a:ln>
                <a:solidFill>
                  <a:schemeClr val="bg2">
                    <a:lumMod val="50000"/>
                  </a:schemeClr>
                </a:solidFill>
              </a:ln>
            </c:spPr>
          </c:marker>
          <c:cat>
            <c:numRef>
              <c:f>'Sources schémas'!$C$15:$E$15</c:f>
              <c:numCache>
                <c:formatCode>General</c:formatCode>
                <c:ptCount val="3"/>
                <c:pt idx="0">
                  <c:v>2014</c:v>
                </c:pt>
                <c:pt idx="1">
                  <c:v>2015</c:v>
                </c:pt>
                <c:pt idx="2" formatCode="0">
                  <c:v>2016</c:v>
                </c:pt>
              </c:numCache>
            </c:numRef>
          </c:cat>
          <c:val>
            <c:numRef>
              <c:f>'Sources schémas'!$C$19:$E$19</c:f>
              <c:numCache>
                <c:formatCode>#,##0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118259712"/>
        <c:axId val="118261632"/>
      </c:lineChart>
      <c:catAx>
        <c:axId val="118259712"/>
        <c:scaling>
          <c:orientation val="minMax"/>
        </c:scaling>
        <c:delete val="0"/>
        <c:axPos val="b"/>
        <c:numFmt formatCode="General" sourceLinked="1"/>
        <c:majorTickMark val="out"/>
        <c:minorTickMark val="none"/>
        <c:tickLblPos val="low"/>
        <c:txPr>
          <a:bodyPr/>
          <a:lstStyle/>
          <a:p>
            <a:pPr>
              <a:defRPr sz="1200" b="1"/>
            </a:pPr>
            <a:endParaRPr lang="fr-FR"/>
          </a:p>
        </c:txPr>
        <c:crossAx val="118261632"/>
        <c:crossesAt val="0"/>
        <c:auto val="1"/>
        <c:lblAlgn val="ctr"/>
        <c:lblOffset val="100"/>
        <c:noMultiLvlLbl val="0"/>
      </c:catAx>
      <c:valAx>
        <c:axId val="118261632"/>
        <c:scaling>
          <c:orientation val="minMax"/>
        </c:scaling>
        <c:delete val="0"/>
        <c:axPos val="l"/>
        <c:majorGridlines/>
        <c:numFmt formatCode="#,##0" sourceLinked="1"/>
        <c:majorTickMark val="out"/>
        <c:minorTickMark val="none"/>
        <c:tickLblPos val="nextTo"/>
        <c:crossAx val="118259712"/>
        <c:crossesAt val="1"/>
        <c:crossBetween val="between"/>
      </c:valAx>
    </c:plotArea>
    <c:legend>
      <c:legendPos val="r"/>
      <c:layout>
        <c:manualLayout>
          <c:xMode val="edge"/>
          <c:yMode val="edge"/>
          <c:x val="0.77740951738420272"/>
          <c:y val="0.13058936835007934"/>
          <c:w val="0.22259048261579895"/>
          <c:h val="0.71777936400169773"/>
        </c:manualLayout>
      </c:layout>
      <c:overlay val="0"/>
      <c:txPr>
        <a:bodyPr/>
        <a:lstStyle/>
        <a:p>
          <a:pPr>
            <a:defRPr sz="1100" b="1"/>
          </a:pPr>
          <a:endParaRPr lang="fr-FR"/>
        </a:p>
      </c:txPr>
    </c:legend>
    <c:plotVisOnly val="1"/>
    <c:dispBlanksAs val="zero"/>
    <c:showDLblsOverMax val="0"/>
  </c:chart>
  <c:spPr>
    <a:solidFill>
      <a:schemeClr val="bg2"/>
    </a:solidFill>
  </c:spPr>
  <c:printSettings>
    <c:headerFooter/>
    <c:pageMargins b="0.750000000000004" l="0.70000000000000162" r="0.70000000000000162" t="0.75000000000000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3978304311454604"/>
          <c:y val="0.15269018386450292"/>
          <c:w val="0.79666394511346428"/>
          <c:h val="0.74529641471677277"/>
        </c:manualLayout>
      </c:layout>
      <c:barChart>
        <c:barDir val="col"/>
        <c:grouping val="clustered"/>
        <c:varyColors val="0"/>
        <c:ser>
          <c:idx val="0"/>
          <c:order val="0"/>
          <c:tx>
            <c:strRef>
              <c:f>'Sources schémas'!$B$24</c:f>
              <c:strCache>
                <c:ptCount val="1"/>
                <c:pt idx="0">
                  <c:v>Produits d'exploitation</c:v>
                </c:pt>
              </c:strCache>
            </c:strRef>
          </c:tx>
          <c:spPr>
            <a:solidFill>
              <a:schemeClr val="bg1">
                <a:lumMod val="50000"/>
              </a:schemeClr>
            </a:solidFill>
            <a:ln>
              <a:solidFill>
                <a:schemeClr val="bg1">
                  <a:lumMod val="65000"/>
                </a:schemeClr>
              </a:solidFill>
            </a:ln>
          </c:spPr>
          <c:invertIfNegative val="0"/>
          <c:dLbls>
            <c:spPr>
              <a:noFill/>
              <a:ln w="25400">
                <a:noFill/>
              </a:ln>
            </c:spPr>
            <c:txPr>
              <a:bodyPr/>
              <a:lstStyle/>
              <a:p>
                <a:pPr>
                  <a:defRPr sz="1050" b="1" i="0" u="none" strike="noStrike" baseline="0">
                    <a:solidFill>
                      <a:schemeClr val="tx1">
                        <a:lumMod val="75000"/>
                        <a:lumOff val="25000"/>
                      </a:schemeClr>
                    </a:solidFill>
                    <a:latin typeface="Arial" pitchFamily="34" charset="0"/>
                    <a:ea typeface="Calibri"/>
                    <a:cs typeface="Arial" pitchFamily="34" charset="0"/>
                  </a:defRPr>
                </a:pPr>
                <a:endParaRPr lang="fr-FR"/>
              </a:p>
            </c:txPr>
            <c:dLblPos val="outEnd"/>
            <c:showLegendKey val="0"/>
            <c:showVal val="1"/>
            <c:showCatName val="0"/>
            <c:showSerName val="0"/>
            <c:showPercent val="0"/>
            <c:showBubbleSize val="0"/>
            <c:showLeaderLines val="0"/>
          </c:dLbls>
          <c:cat>
            <c:numRef>
              <c:f>'Sources schémas'!$C$23:$E$23</c:f>
              <c:numCache>
                <c:formatCode>General</c:formatCode>
                <c:ptCount val="3"/>
                <c:pt idx="0">
                  <c:v>2014</c:v>
                </c:pt>
                <c:pt idx="1">
                  <c:v>2015</c:v>
                </c:pt>
                <c:pt idx="2">
                  <c:v>2016</c:v>
                </c:pt>
              </c:numCache>
            </c:numRef>
          </c:cat>
          <c:val>
            <c:numRef>
              <c:f>'Sources schémas'!$C$24:$E$24</c:f>
              <c:numCache>
                <c:formatCode>#,##0</c:formatCode>
                <c:ptCount val="3"/>
                <c:pt idx="0">
                  <c:v>0</c:v>
                </c:pt>
                <c:pt idx="1">
                  <c:v>0</c:v>
                </c:pt>
                <c:pt idx="2">
                  <c:v>0</c:v>
                </c:pt>
              </c:numCache>
            </c:numRef>
          </c:val>
        </c:ser>
        <c:dLbls>
          <c:showLegendKey val="0"/>
          <c:showVal val="1"/>
          <c:showCatName val="0"/>
          <c:showSerName val="0"/>
          <c:showPercent val="0"/>
          <c:showBubbleSize val="0"/>
        </c:dLbls>
        <c:gapWidth val="150"/>
        <c:axId val="118283264"/>
        <c:axId val="118290304"/>
      </c:barChart>
      <c:lineChart>
        <c:grouping val="standard"/>
        <c:varyColors val="0"/>
        <c:ser>
          <c:idx val="1"/>
          <c:order val="1"/>
          <c:tx>
            <c:strRef>
              <c:f>'Sources schémas'!$B$25</c:f>
              <c:strCache>
                <c:ptCount val="1"/>
                <c:pt idx="0">
                  <c:v>Résultat d'exploitation</c:v>
                </c:pt>
              </c:strCache>
            </c:strRef>
          </c:tx>
          <c:spPr>
            <a:ln>
              <a:solidFill>
                <a:srgbClr val="FF5050"/>
              </a:solidFill>
            </a:ln>
          </c:spPr>
          <c:marker>
            <c:spPr>
              <a:solidFill>
                <a:srgbClr val="FF5050"/>
              </a:solidFill>
              <a:ln>
                <a:solidFill>
                  <a:srgbClr val="FF5050"/>
                </a:solidFill>
              </a:ln>
            </c:spPr>
          </c:marker>
          <c:dLbls>
            <c:numFmt formatCode="#,##0" sourceLinked="0"/>
            <c:spPr>
              <a:noFill/>
              <a:ln w="25400">
                <a:noFill/>
              </a:ln>
            </c:spPr>
            <c:txPr>
              <a:bodyPr/>
              <a:lstStyle/>
              <a:p>
                <a:pPr>
                  <a:defRPr sz="1050" b="1" i="0" u="none" strike="noStrike" baseline="0">
                    <a:solidFill>
                      <a:srgbClr val="CC3300"/>
                    </a:solidFill>
                    <a:latin typeface="Arial" pitchFamily="34" charset="0"/>
                    <a:ea typeface="Calibri"/>
                    <a:cs typeface="Arial" pitchFamily="34" charset="0"/>
                  </a:defRPr>
                </a:pPr>
                <a:endParaRPr lang="fr-FR"/>
              </a:p>
            </c:txPr>
            <c:dLblPos val="b"/>
            <c:showLegendKey val="0"/>
            <c:showVal val="1"/>
            <c:showCatName val="0"/>
            <c:showSerName val="0"/>
            <c:showPercent val="0"/>
            <c:showBubbleSize val="0"/>
            <c:showLeaderLines val="0"/>
          </c:dLbls>
          <c:cat>
            <c:numRef>
              <c:f>'Sources schémas'!$C$23:$E$23</c:f>
              <c:numCache>
                <c:formatCode>General</c:formatCode>
                <c:ptCount val="3"/>
                <c:pt idx="0">
                  <c:v>2014</c:v>
                </c:pt>
                <c:pt idx="1">
                  <c:v>2015</c:v>
                </c:pt>
                <c:pt idx="2">
                  <c:v>2016</c:v>
                </c:pt>
              </c:numCache>
            </c:numRef>
          </c:cat>
          <c:val>
            <c:numRef>
              <c:f>'Sources schémas'!$C$25:$E$25</c:f>
              <c:numCache>
                <c:formatCode>#,##0</c:formatCode>
                <c:ptCount val="3"/>
                <c:pt idx="0">
                  <c:v>0</c:v>
                </c:pt>
                <c:pt idx="1">
                  <c:v>0</c:v>
                </c:pt>
                <c:pt idx="2">
                  <c:v>0</c:v>
                </c:pt>
              </c:numCache>
            </c:numRef>
          </c:val>
          <c:smooth val="0"/>
        </c:ser>
        <c:dLbls>
          <c:showLegendKey val="0"/>
          <c:showVal val="1"/>
          <c:showCatName val="0"/>
          <c:showSerName val="0"/>
          <c:showPercent val="0"/>
          <c:showBubbleSize val="0"/>
        </c:dLbls>
        <c:marker val="1"/>
        <c:smooth val="0"/>
        <c:axId val="118291840"/>
        <c:axId val="118301824"/>
      </c:lineChart>
      <c:catAx>
        <c:axId val="118283264"/>
        <c:scaling>
          <c:orientation val="minMax"/>
        </c:scaling>
        <c:delete val="0"/>
        <c:axPos val="b"/>
        <c:numFmt formatCode="General" sourceLinked="1"/>
        <c:majorTickMark val="none"/>
        <c:minorTickMark val="none"/>
        <c:tickLblPos val="low"/>
        <c:txPr>
          <a:bodyPr rot="0" vert="horz"/>
          <a:lstStyle/>
          <a:p>
            <a:pPr>
              <a:defRPr sz="1100" b="1" i="0" u="none" strike="noStrike" baseline="0">
                <a:solidFill>
                  <a:srgbClr val="000000"/>
                </a:solidFill>
                <a:latin typeface="Arial" pitchFamily="34" charset="0"/>
                <a:ea typeface="Rockwell"/>
                <a:cs typeface="Arial" pitchFamily="34" charset="0"/>
              </a:defRPr>
            </a:pPr>
            <a:endParaRPr lang="fr-FR"/>
          </a:p>
        </c:txPr>
        <c:crossAx val="118290304"/>
        <c:crosses val="autoZero"/>
        <c:auto val="0"/>
        <c:lblAlgn val="ctr"/>
        <c:lblOffset val="100"/>
        <c:tickLblSkip val="1"/>
        <c:tickMarkSkip val="1"/>
        <c:noMultiLvlLbl val="0"/>
      </c:catAx>
      <c:valAx>
        <c:axId val="118290304"/>
        <c:scaling>
          <c:orientation val="minMax"/>
        </c:scaling>
        <c:delete val="0"/>
        <c:axPos val="l"/>
        <c:majorGridlines>
          <c:spPr>
            <a:ln w="3175"/>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pitchFamily="34" charset="0"/>
                <a:ea typeface="Rockwell"/>
                <a:cs typeface="Arial" pitchFamily="34" charset="0"/>
              </a:defRPr>
            </a:pPr>
            <a:endParaRPr lang="fr-FR"/>
          </a:p>
        </c:txPr>
        <c:crossAx val="118283264"/>
        <c:crosses val="autoZero"/>
        <c:crossBetween val="between"/>
      </c:valAx>
      <c:catAx>
        <c:axId val="118291840"/>
        <c:scaling>
          <c:orientation val="minMax"/>
        </c:scaling>
        <c:delete val="1"/>
        <c:axPos val="b"/>
        <c:numFmt formatCode="General" sourceLinked="1"/>
        <c:majorTickMark val="out"/>
        <c:minorTickMark val="none"/>
        <c:tickLblPos val="none"/>
        <c:crossAx val="118301824"/>
        <c:crosses val="autoZero"/>
        <c:auto val="0"/>
        <c:lblAlgn val="ctr"/>
        <c:lblOffset val="100"/>
        <c:noMultiLvlLbl val="0"/>
      </c:catAx>
      <c:valAx>
        <c:axId val="118301824"/>
        <c:scaling>
          <c:orientation val="minMax"/>
        </c:scaling>
        <c:delete val="1"/>
        <c:axPos val="l"/>
        <c:numFmt formatCode="#,##0" sourceLinked="1"/>
        <c:majorTickMark val="out"/>
        <c:minorTickMark val="none"/>
        <c:tickLblPos val="none"/>
        <c:crossAx val="118291840"/>
        <c:crosses val="autoZero"/>
        <c:crossBetween val="between"/>
      </c:valAx>
      <c:spPr>
        <a:noFill/>
      </c:spPr>
    </c:plotArea>
    <c:legend>
      <c:legendPos val="r"/>
      <c:layout>
        <c:manualLayout>
          <c:xMode val="edge"/>
          <c:yMode val="edge"/>
          <c:x val="9.2106550510973328E-2"/>
          <c:y val="2.6962870940436305E-2"/>
          <c:w val="0.84415565026849559"/>
          <c:h val="9.5346845902817765E-2"/>
        </c:manualLayout>
      </c:layout>
      <c:overlay val="0"/>
      <c:txPr>
        <a:bodyPr/>
        <a:lstStyle/>
        <a:p>
          <a:pPr>
            <a:defRPr sz="1100" b="1"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2"/>
    </a:solidFill>
    <a:ln w="3175">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oddHeader>&amp;A</c:oddHeader>
      <c:oddFooter>Page &amp;P</c:oddFooter>
    </c:headerFooter>
    <c:pageMargins b="0.98425196899999956" l="0.78740157499999996" r="0.78740157499999996" t="0.98425196899999956" header="0.5" footer="0.5"/>
    <c:pageSetup paperSize="9" orientation="landscape" horizontalDpi="-4" verticalDpi="-4"/>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rgbClr val="FF0000"/>
                </a:solidFill>
              </a:defRPr>
            </a:pPr>
            <a:r>
              <a:rPr lang="fr-FR" sz="1600">
                <a:solidFill>
                  <a:srgbClr val="FF0000"/>
                </a:solidFill>
              </a:rPr>
              <a:t>Composition des charges </a:t>
            </a:r>
            <a:r>
              <a:rPr lang="fr-FR" sz="1100">
                <a:solidFill>
                  <a:srgbClr val="FF0000"/>
                </a:solidFill>
              </a:rPr>
              <a:t>*</a:t>
            </a:r>
          </a:p>
        </c:rich>
      </c:tx>
      <c:overlay val="0"/>
    </c:title>
    <c:autoTitleDeleted val="0"/>
    <c:plotArea>
      <c:layout>
        <c:manualLayout>
          <c:layoutTarget val="inner"/>
          <c:xMode val="edge"/>
          <c:yMode val="edge"/>
          <c:x val="0.15674033402181101"/>
          <c:y val="0.16880959579395566"/>
          <c:w val="0.60252370025251289"/>
          <c:h val="0.6389621202879795"/>
        </c:manualLayout>
      </c:layout>
      <c:areaChart>
        <c:grouping val="stacked"/>
        <c:varyColors val="0"/>
        <c:ser>
          <c:idx val="0"/>
          <c:order val="0"/>
          <c:tx>
            <c:strRef>
              <c:f>'Sources schémas'!$B$48</c:f>
              <c:strCache>
                <c:ptCount val="1"/>
                <c:pt idx="0">
                  <c:v>Masse salariale</c:v>
                </c:pt>
              </c:strCache>
            </c:strRef>
          </c:tx>
          <c:spPr>
            <a:solidFill>
              <a:schemeClr val="accent2">
                <a:lumMod val="50000"/>
              </a:schemeClr>
            </a:solidFill>
          </c:spPr>
          <c:cat>
            <c:numRef>
              <c:f>'Sources schémas'!$C$47:$E$47</c:f>
              <c:numCache>
                <c:formatCode>General</c:formatCode>
                <c:ptCount val="3"/>
                <c:pt idx="0">
                  <c:v>2014</c:v>
                </c:pt>
                <c:pt idx="1">
                  <c:v>2015</c:v>
                </c:pt>
                <c:pt idx="2">
                  <c:v>2016</c:v>
                </c:pt>
              </c:numCache>
            </c:numRef>
          </c:cat>
          <c:val>
            <c:numRef>
              <c:f>'Sources schémas'!$C$48:$E$48</c:f>
              <c:numCache>
                <c:formatCode>#,##0</c:formatCode>
                <c:ptCount val="3"/>
                <c:pt idx="0">
                  <c:v>0</c:v>
                </c:pt>
                <c:pt idx="1">
                  <c:v>0</c:v>
                </c:pt>
                <c:pt idx="2">
                  <c:v>0</c:v>
                </c:pt>
              </c:numCache>
            </c:numRef>
          </c:val>
        </c:ser>
        <c:ser>
          <c:idx val="1"/>
          <c:order val="1"/>
          <c:tx>
            <c:strRef>
              <c:f>'Sources schémas'!$B$49</c:f>
              <c:strCache>
                <c:ptCount val="1"/>
                <c:pt idx="0">
                  <c:v>Frais de structure</c:v>
                </c:pt>
              </c:strCache>
            </c:strRef>
          </c:tx>
          <c:spPr>
            <a:solidFill>
              <a:srgbClr val="FFC000"/>
            </a:solidFill>
          </c:spPr>
          <c:cat>
            <c:numRef>
              <c:f>'Sources schémas'!$C$47:$E$47</c:f>
              <c:numCache>
                <c:formatCode>General</c:formatCode>
                <c:ptCount val="3"/>
                <c:pt idx="0">
                  <c:v>2014</c:v>
                </c:pt>
                <c:pt idx="1">
                  <c:v>2015</c:v>
                </c:pt>
                <c:pt idx="2">
                  <c:v>2016</c:v>
                </c:pt>
              </c:numCache>
            </c:numRef>
          </c:cat>
          <c:val>
            <c:numRef>
              <c:f>'Sources schémas'!$C$49:$E$49</c:f>
              <c:numCache>
                <c:formatCode>#,##0</c:formatCode>
                <c:ptCount val="3"/>
                <c:pt idx="0">
                  <c:v>0</c:v>
                </c:pt>
                <c:pt idx="1">
                  <c:v>0</c:v>
                </c:pt>
                <c:pt idx="2">
                  <c:v>0</c:v>
                </c:pt>
              </c:numCache>
            </c:numRef>
          </c:val>
        </c:ser>
        <c:ser>
          <c:idx val="2"/>
          <c:order val="2"/>
          <c:tx>
            <c:strRef>
              <c:f>'Sources schémas'!$B$50</c:f>
              <c:strCache>
                <c:ptCount val="1"/>
                <c:pt idx="0">
                  <c:v>Charges variables</c:v>
                </c:pt>
              </c:strCache>
            </c:strRef>
          </c:tx>
          <c:spPr>
            <a:solidFill>
              <a:srgbClr val="FF5050"/>
            </a:solidFill>
          </c:spPr>
          <c:cat>
            <c:numRef>
              <c:f>'Sources schémas'!$C$47:$E$47</c:f>
              <c:numCache>
                <c:formatCode>General</c:formatCode>
                <c:ptCount val="3"/>
                <c:pt idx="0">
                  <c:v>2014</c:v>
                </c:pt>
                <c:pt idx="1">
                  <c:v>2015</c:v>
                </c:pt>
                <c:pt idx="2">
                  <c:v>2016</c:v>
                </c:pt>
              </c:numCache>
            </c:numRef>
          </c:cat>
          <c:val>
            <c:numRef>
              <c:f>'Sources schémas'!$C$50:$E$50</c:f>
              <c:numCache>
                <c:formatCode>#,##0</c:formatCode>
                <c:ptCount val="3"/>
                <c:pt idx="0">
                  <c:v>0</c:v>
                </c:pt>
                <c:pt idx="1">
                  <c:v>0</c:v>
                </c:pt>
                <c:pt idx="2">
                  <c:v>0</c:v>
                </c:pt>
              </c:numCache>
            </c:numRef>
          </c:val>
        </c:ser>
        <c:ser>
          <c:idx val="3"/>
          <c:order val="3"/>
          <c:tx>
            <c:strRef>
              <c:f>'Sources schémas'!$B$51</c:f>
              <c:strCache>
                <c:ptCount val="1"/>
                <c:pt idx="0">
                  <c:v>Autres charges</c:v>
                </c:pt>
              </c:strCache>
            </c:strRef>
          </c:tx>
          <c:spPr>
            <a:solidFill>
              <a:schemeClr val="bg2">
                <a:lumMod val="50000"/>
              </a:schemeClr>
            </a:solidFill>
          </c:spPr>
          <c:cat>
            <c:numRef>
              <c:f>'Sources schémas'!$C$47:$E$47</c:f>
              <c:numCache>
                <c:formatCode>General</c:formatCode>
                <c:ptCount val="3"/>
                <c:pt idx="0">
                  <c:v>2014</c:v>
                </c:pt>
                <c:pt idx="1">
                  <c:v>2015</c:v>
                </c:pt>
                <c:pt idx="2">
                  <c:v>2016</c:v>
                </c:pt>
              </c:numCache>
            </c:numRef>
          </c:cat>
          <c:val>
            <c:numRef>
              <c:f>'Sources schémas'!$C$51:$E$51</c:f>
              <c:numCache>
                <c:formatCode>#,##0</c:formatCode>
                <c:ptCount val="3"/>
                <c:pt idx="0">
                  <c:v>0</c:v>
                </c:pt>
                <c:pt idx="1">
                  <c:v>0</c:v>
                </c:pt>
                <c:pt idx="2">
                  <c:v>0</c:v>
                </c:pt>
              </c:numCache>
            </c:numRef>
          </c:val>
        </c:ser>
        <c:dLbls>
          <c:showLegendKey val="0"/>
          <c:showVal val="0"/>
          <c:showCatName val="0"/>
          <c:showSerName val="0"/>
          <c:showPercent val="0"/>
          <c:showBubbleSize val="0"/>
        </c:dLbls>
        <c:axId val="118332416"/>
        <c:axId val="118350592"/>
      </c:areaChart>
      <c:catAx>
        <c:axId val="118332416"/>
        <c:scaling>
          <c:orientation val="minMax"/>
        </c:scaling>
        <c:delete val="0"/>
        <c:axPos val="b"/>
        <c:numFmt formatCode="General" sourceLinked="1"/>
        <c:majorTickMark val="none"/>
        <c:minorTickMark val="none"/>
        <c:tickLblPos val="nextTo"/>
        <c:crossAx val="118350592"/>
        <c:crosses val="autoZero"/>
        <c:auto val="1"/>
        <c:lblAlgn val="ctr"/>
        <c:lblOffset val="100"/>
        <c:noMultiLvlLbl val="0"/>
      </c:catAx>
      <c:valAx>
        <c:axId val="118350592"/>
        <c:scaling>
          <c:orientation val="minMax"/>
        </c:scaling>
        <c:delete val="0"/>
        <c:axPos val="l"/>
        <c:majorGridlines/>
        <c:numFmt formatCode="#,##0" sourceLinked="1"/>
        <c:majorTickMark val="none"/>
        <c:minorTickMark val="none"/>
        <c:tickLblPos val="nextTo"/>
        <c:txPr>
          <a:bodyPr/>
          <a:lstStyle/>
          <a:p>
            <a:pPr>
              <a:defRPr b="0"/>
            </a:pPr>
            <a:endParaRPr lang="fr-FR"/>
          </a:p>
        </c:txPr>
        <c:crossAx val="118332416"/>
        <c:crosses val="autoZero"/>
        <c:crossBetween val="midCat"/>
      </c:valAx>
      <c:spPr>
        <a:solidFill>
          <a:schemeClr val="bg2"/>
        </a:solidFill>
      </c:spPr>
    </c:plotArea>
    <c:legend>
      <c:legendPos val="b"/>
      <c:layout>
        <c:manualLayout>
          <c:xMode val="edge"/>
          <c:yMode val="edge"/>
          <c:x val="0.80384903593256163"/>
          <c:y val="8.707923478445545E-2"/>
          <c:w val="0.19430838082231694"/>
          <c:h val="0.738523357465937"/>
        </c:manualLayout>
      </c:layout>
      <c:overlay val="0"/>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rgbClr val="00B0F0"/>
                </a:solidFill>
              </a:defRPr>
            </a:pPr>
            <a:r>
              <a:rPr lang="fr-FR" sz="1600">
                <a:solidFill>
                  <a:srgbClr val="00B0F0"/>
                </a:solidFill>
              </a:rPr>
              <a:t>Composition des produits </a:t>
            </a:r>
            <a:r>
              <a:rPr lang="fr-FR" sz="1100">
                <a:solidFill>
                  <a:srgbClr val="00B0F0"/>
                </a:solidFill>
              </a:rPr>
              <a:t>*</a:t>
            </a:r>
          </a:p>
        </c:rich>
      </c:tx>
      <c:overlay val="0"/>
    </c:title>
    <c:autoTitleDeleted val="0"/>
    <c:plotArea>
      <c:layout>
        <c:manualLayout>
          <c:layoutTarget val="inner"/>
          <c:xMode val="edge"/>
          <c:yMode val="edge"/>
          <c:x val="0.16694455711828959"/>
          <c:y val="0.1633119147166632"/>
          <c:w val="0.5872905777156765"/>
          <c:h val="0.67430776519709368"/>
        </c:manualLayout>
      </c:layout>
      <c:areaChart>
        <c:grouping val="stacked"/>
        <c:varyColors val="0"/>
        <c:ser>
          <c:idx val="0"/>
          <c:order val="0"/>
          <c:tx>
            <c:strRef>
              <c:f>'Sources schémas'!$B$54</c:f>
              <c:strCache>
                <c:ptCount val="1"/>
                <c:pt idx="0">
                  <c:v>Facturation 1/3 payeurs</c:v>
                </c:pt>
              </c:strCache>
            </c:strRef>
          </c:tx>
          <c:spPr>
            <a:solidFill>
              <a:schemeClr val="accent5">
                <a:lumMod val="50000"/>
              </a:schemeClr>
            </a:solidFill>
            <a:ln>
              <a:solidFill>
                <a:schemeClr val="accent5">
                  <a:lumMod val="50000"/>
                </a:schemeClr>
              </a:solidFill>
            </a:ln>
          </c:spPr>
          <c:cat>
            <c:numRef>
              <c:f>'Sources schémas'!$C$53:$E$53</c:f>
              <c:numCache>
                <c:formatCode>General</c:formatCode>
                <c:ptCount val="3"/>
                <c:pt idx="0">
                  <c:v>2014</c:v>
                </c:pt>
                <c:pt idx="1">
                  <c:v>2015</c:v>
                </c:pt>
                <c:pt idx="2">
                  <c:v>2016</c:v>
                </c:pt>
              </c:numCache>
            </c:numRef>
          </c:cat>
          <c:val>
            <c:numRef>
              <c:f>'Sources schémas'!$C$54:$E$54</c:f>
              <c:numCache>
                <c:formatCode>#,##0</c:formatCode>
                <c:ptCount val="3"/>
                <c:pt idx="0">
                  <c:v>0</c:v>
                </c:pt>
                <c:pt idx="1">
                  <c:v>0</c:v>
                </c:pt>
                <c:pt idx="2">
                  <c:v>0</c:v>
                </c:pt>
              </c:numCache>
            </c:numRef>
          </c:val>
        </c:ser>
        <c:ser>
          <c:idx val="1"/>
          <c:order val="1"/>
          <c:tx>
            <c:strRef>
              <c:f>'Sources schémas'!$B$55</c:f>
              <c:strCache>
                <c:ptCount val="1"/>
                <c:pt idx="0">
                  <c:v>Participation des usagers</c:v>
                </c:pt>
              </c:strCache>
            </c:strRef>
          </c:tx>
          <c:spPr>
            <a:solidFill>
              <a:srgbClr val="00B0F0"/>
            </a:solidFill>
          </c:spPr>
          <c:cat>
            <c:numRef>
              <c:f>'Sources schémas'!$C$53:$E$53</c:f>
              <c:numCache>
                <c:formatCode>General</c:formatCode>
                <c:ptCount val="3"/>
                <c:pt idx="0">
                  <c:v>2014</c:v>
                </c:pt>
                <c:pt idx="1">
                  <c:v>2015</c:v>
                </c:pt>
                <c:pt idx="2">
                  <c:v>2016</c:v>
                </c:pt>
              </c:numCache>
            </c:numRef>
          </c:cat>
          <c:val>
            <c:numRef>
              <c:f>'Sources schémas'!$C$55:$E$55</c:f>
              <c:numCache>
                <c:formatCode>#,##0</c:formatCode>
                <c:ptCount val="3"/>
                <c:pt idx="0">
                  <c:v>0</c:v>
                </c:pt>
                <c:pt idx="1">
                  <c:v>0</c:v>
                </c:pt>
                <c:pt idx="2">
                  <c:v>0</c:v>
                </c:pt>
              </c:numCache>
            </c:numRef>
          </c:val>
        </c:ser>
        <c:ser>
          <c:idx val="2"/>
          <c:order val="2"/>
          <c:tx>
            <c:strRef>
              <c:f>'Sources schémas'!$B$56</c:f>
              <c:strCache>
                <c:ptCount val="1"/>
                <c:pt idx="0">
                  <c:v>Subventions, Aides à l'emploi</c:v>
                </c:pt>
              </c:strCache>
            </c:strRef>
          </c:tx>
          <c:spPr>
            <a:solidFill>
              <a:srgbClr val="7030A0"/>
            </a:solidFill>
          </c:spPr>
          <c:cat>
            <c:numRef>
              <c:f>'Sources schémas'!$C$53:$E$53</c:f>
              <c:numCache>
                <c:formatCode>General</c:formatCode>
                <c:ptCount val="3"/>
                <c:pt idx="0">
                  <c:v>2014</c:v>
                </c:pt>
                <c:pt idx="1">
                  <c:v>2015</c:v>
                </c:pt>
                <c:pt idx="2">
                  <c:v>2016</c:v>
                </c:pt>
              </c:numCache>
            </c:numRef>
          </c:cat>
          <c:val>
            <c:numRef>
              <c:f>'Sources schémas'!$C$56:$E$56</c:f>
              <c:numCache>
                <c:formatCode>#,##0</c:formatCode>
                <c:ptCount val="3"/>
                <c:pt idx="0">
                  <c:v>0</c:v>
                </c:pt>
                <c:pt idx="1">
                  <c:v>0</c:v>
                </c:pt>
                <c:pt idx="2">
                  <c:v>0</c:v>
                </c:pt>
              </c:numCache>
            </c:numRef>
          </c:val>
        </c:ser>
        <c:ser>
          <c:idx val="3"/>
          <c:order val="3"/>
          <c:tx>
            <c:strRef>
              <c:f>'Sources schémas'!$B$57</c:f>
              <c:strCache>
                <c:ptCount val="1"/>
                <c:pt idx="0">
                  <c:v>Autres produits</c:v>
                </c:pt>
              </c:strCache>
            </c:strRef>
          </c:tx>
          <c:spPr>
            <a:solidFill>
              <a:srgbClr val="808080"/>
            </a:solidFill>
          </c:spPr>
          <c:cat>
            <c:numRef>
              <c:f>'Sources schémas'!$C$53:$E$53</c:f>
              <c:numCache>
                <c:formatCode>General</c:formatCode>
                <c:ptCount val="3"/>
                <c:pt idx="0">
                  <c:v>2014</c:v>
                </c:pt>
                <c:pt idx="1">
                  <c:v>2015</c:v>
                </c:pt>
                <c:pt idx="2">
                  <c:v>2016</c:v>
                </c:pt>
              </c:numCache>
            </c:numRef>
          </c:cat>
          <c:val>
            <c:numRef>
              <c:f>'Sources schémas'!$C$57:$E$57</c:f>
              <c:numCache>
                <c:formatCode>#,##0</c:formatCode>
                <c:ptCount val="3"/>
                <c:pt idx="0">
                  <c:v>0</c:v>
                </c:pt>
                <c:pt idx="1">
                  <c:v>0</c:v>
                </c:pt>
                <c:pt idx="2">
                  <c:v>0</c:v>
                </c:pt>
              </c:numCache>
            </c:numRef>
          </c:val>
        </c:ser>
        <c:dLbls>
          <c:showLegendKey val="0"/>
          <c:showVal val="0"/>
          <c:showCatName val="0"/>
          <c:showSerName val="0"/>
          <c:showPercent val="0"/>
          <c:showBubbleSize val="0"/>
        </c:dLbls>
        <c:axId val="118443008"/>
        <c:axId val="118444800"/>
      </c:areaChart>
      <c:catAx>
        <c:axId val="118443008"/>
        <c:scaling>
          <c:orientation val="minMax"/>
        </c:scaling>
        <c:delete val="0"/>
        <c:axPos val="b"/>
        <c:numFmt formatCode="General" sourceLinked="1"/>
        <c:majorTickMark val="none"/>
        <c:minorTickMark val="none"/>
        <c:tickLblPos val="nextTo"/>
        <c:crossAx val="118444800"/>
        <c:crosses val="autoZero"/>
        <c:auto val="1"/>
        <c:lblAlgn val="ctr"/>
        <c:lblOffset val="100"/>
        <c:noMultiLvlLbl val="0"/>
      </c:catAx>
      <c:valAx>
        <c:axId val="118444800"/>
        <c:scaling>
          <c:orientation val="minMax"/>
        </c:scaling>
        <c:delete val="0"/>
        <c:axPos val="l"/>
        <c:majorGridlines/>
        <c:numFmt formatCode="#,##0" sourceLinked="1"/>
        <c:majorTickMark val="none"/>
        <c:minorTickMark val="none"/>
        <c:tickLblPos val="nextTo"/>
        <c:txPr>
          <a:bodyPr/>
          <a:lstStyle/>
          <a:p>
            <a:pPr algn="ctr">
              <a:defRPr b="0"/>
            </a:pPr>
            <a:endParaRPr lang="fr-FR"/>
          </a:p>
        </c:txPr>
        <c:crossAx val="118443008"/>
        <c:crosses val="autoZero"/>
        <c:crossBetween val="midCat"/>
      </c:valAx>
      <c:spPr>
        <a:solidFill>
          <a:schemeClr val="bg2"/>
        </a:solidFill>
      </c:spPr>
    </c:plotArea>
    <c:legend>
      <c:legendPos val="t"/>
      <c:layout>
        <c:manualLayout>
          <c:xMode val="edge"/>
          <c:yMode val="edge"/>
          <c:x val="0.79612366127563627"/>
          <c:y val="0.11001279459912337"/>
          <c:w val="0.1877056153799824"/>
          <c:h val="0.78304018745034354"/>
        </c:manualLayout>
      </c:layout>
      <c:overlay val="0"/>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rAngAx val="0"/>
      <c:perspective val="100"/>
    </c:view3D>
    <c:floor>
      <c:thickness val="0"/>
    </c:floor>
    <c:sideWall>
      <c:thickness val="0"/>
    </c:sideWall>
    <c:backWall>
      <c:thickness val="0"/>
    </c:backWall>
    <c:plotArea>
      <c:layout>
        <c:manualLayout>
          <c:layoutTarget val="inner"/>
          <c:xMode val="edge"/>
          <c:yMode val="edge"/>
          <c:x val="7.5075187175568214E-2"/>
          <c:y val="6.4047435217571794E-2"/>
          <c:w val="0.73280231283389419"/>
          <c:h val="0.81810827759260685"/>
        </c:manualLayout>
      </c:layout>
      <c:bar3DChart>
        <c:barDir val="col"/>
        <c:grouping val="percentStacked"/>
        <c:varyColors val="0"/>
        <c:ser>
          <c:idx val="0"/>
          <c:order val="0"/>
          <c:tx>
            <c:strRef>
              <c:f>'Sources schémas'!$B$5</c:f>
              <c:strCache>
                <c:ptCount val="1"/>
                <c:pt idx="0">
                  <c:v>Immobilisations</c:v>
                </c:pt>
              </c:strCache>
            </c:strRef>
          </c:tx>
          <c:spPr>
            <a:solidFill>
              <a:srgbClr val="00B050"/>
            </a:solidFill>
            <a:ln>
              <a:noFill/>
            </a:ln>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schémas'!$C$5:$H$5</c:f>
              <c:numCache>
                <c:formatCode>#,##0</c:formatCode>
                <c:ptCount val="6"/>
                <c:pt idx="0">
                  <c:v>0</c:v>
                </c:pt>
                <c:pt idx="2">
                  <c:v>0</c:v>
                </c:pt>
                <c:pt idx="4">
                  <c:v>0</c:v>
                </c:pt>
              </c:numCache>
            </c:numRef>
          </c:val>
        </c:ser>
        <c:ser>
          <c:idx val="1"/>
          <c:order val="1"/>
          <c:tx>
            <c:strRef>
              <c:f>'Sources schémas'!$B$6</c:f>
              <c:strCache>
                <c:ptCount val="1"/>
                <c:pt idx="0">
                  <c:v>Stocks et créances</c:v>
                </c:pt>
              </c:strCache>
            </c:strRef>
          </c:tx>
          <c:spPr>
            <a:solidFill>
              <a:schemeClr val="accent3">
                <a:lumMod val="75000"/>
              </a:schemeClr>
            </a:solidFill>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schémas'!$C$6:$H$6</c:f>
              <c:numCache>
                <c:formatCode>#,##0</c:formatCode>
                <c:ptCount val="6"/>
                <c:pt idx="0">
                  <c:v>0</c:v>
                </c:pt>
                <c:pt idx="2">
                  <c:v>0</c:v>
                </c:pt>
                <c:pt idx="4">
                  <c:v>0</c:v>
                </c:pt>
              </c:numCache>
            </c:numRef>
          </c:val>
        </c:ser>
        <c:ser>
          <c:idx val="2"/>
          <c:order val="2"/>
          <c:tx>
            <c:strRef>
              <c:f>'Sources schémas'!$B$7</c:f>
              <c:strCache>
                <c:ptCount val="1"/>
                <c:pt idx="0">
                  <c:v>Disponibilités</c:v>
                </c:pt>
              </c:strCache>
            </c:strRef>
          </c:tx>
          <c:spPr>
            <a:solidFill>
              <a:schemeClr val="accent3">
                <a:lumMod val="60000"/>
                <a:lumOff val="40000"/>
              </a:schemeClr>
            </a:solidFill>
            <a:ln>
              <a:noFill/>
            </a:ln>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schémas'!$C$7:$H$7</c:f>
              <c:numCache>
                <c:formatCode>#,##0</c:formatCode>
                <c:ptCount val="6"/>
                <c:pt idx="0">
                  <c:v>0</c:v>
                </c:pt>
                <c:pt idx="2">
                  <c:v>0</c:v>
                </c:pt>
                <c:pt idx="4">
                  <c:v>0</c:v>
                </c:pt>
              </c:numCache>
            </c:numRef>
          </c:val>
        </c:ser>
        <c:ser>
          <c:idx val="3"/>
          <c:order val="3"/>
          <c:tx>
            <c:strRef>
              <c:f>'Sources schémas'!$B$8</c:f>
              <c:strCache>
                <c:ptCount val="1"/>
                <c:pt idx="0">
                  <c:v>Fonds Propres</c:v>
                </c:pt>
              </c:strCache>
            </c:strRef>
          </c:tx>
          <c:spPr>
            <a:solidFill>
              <a:srgbClr val="C00000"/>
            </a:solidFill>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schémas'!$C$8:$H$8</c:f>
              <c:numCache>
                <c:formatCode>#,##0</c:formatCode>
                <c:ptCount val="6"/>
                <c:pt idx="1">
                  <c:v>0</c:v>
                </c:pt>
                <c:pt idx="3">
                  <c:v>0</c:v>
                </c:pt>
                <c:pt idx="5">
                  <c:v>0</c:v>
                </c:pt>
              </c:numCache>
            </c:numRef>
          </c:val>
        </c:ser>
        <c:ser>
          <c:idx val="4"/>
          <c:order val="4"/>
          <c:tx>
            <c:strRef>
              <c:f>'Sources schémas'!$B$9</c:f>
              <c:strCache>
                <c:ptCount val="1"/>
                <c:pt idx="0">
                  <c:v>Dettes MLT</c:v>
                </c:pt>
              </c:strCache>
            </c:strRef>
          </c:tx>
          <c:spPr>
            <a:solidFill>
              <a:schemeClr val="accent2">
                <a:lumMod val="75000"/>
              </a:schemeClr>
            </a:solidFill>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schémas'!$C$9:$H$9</c:f>
              <c:numCache>
                <c:formatCode>#,##0</c:formatCode>
                <c:ptCount val="6"/>
                <c:pt idx="1">
                  <c:v>0</c:v>
                </c:pt>
                <c:pt idx="3">
                  <c:v>0</c:v>
                </c:pt>
                <c:pt idx="5">
                  <c:v>0</c:v>
                </c:pt>
              </c:numCache>
            </c:numRef>
          </c:val>
        </c:ser>
        <c:ser>
          <c:idx val="5"/>
          <c:order val="5"/>
          <c:tx>
            <c:strRef>
              <c:f>'Sources schémas'!$B$10</c:f>
              <c:strCache>
                <c:ptCount val="1"/>
                <c:pt idx="0">
                  <c:v>Dettes CT</c:v>
                </c:pt>
              </c:strCache>
            </c:strRef>
          </c:tx>
          <c:spPr>
            <a:solidFill>
              <a:schemeClr val="accent2">
                <a:lumMod val="60000"/>
                <a:lumOff val="40000"/>
              </a:schemeClr>
            </a:solidFill>
            <a:ln>
              <a:noFill/>
            </a:ln>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schémas'!$C$10:$H$10</c:f>
              <c:numCache>
                <c:formatCode>#,##0</c:formatCode>
                <c:ptCount val="6"/>
                <c:pt idx="1">
                  <c:v>0</c:v>
                </c:pt>
                <c:pt idx="3">
                  <c:v>0</c:v>
                </c:pt>
                <c:pt idx="5">
                  <c:v>0</c:v>
                </c:pt>
              </c:numCache>
            </c:numRef>
          </c:val>
        </c:ser>
        <c:dLbls>
          <c:showLegendKey val="0"/>
          <c:showVal val="0"/>
          <c:showCatName val="0"/>
          <c:showSerName val="0"/>
          <c:showPercent val="0"/>
          <c:showBubbleSize val="0"/>
        </c:dLbls>
        <c:gapWidth val="123"/>
        <c:shape val="box"/>
        <c:axId val="118891648"/>
        <c:axId val="118893184"/>
        <c:axId val="0"/>
      </c:bar3DChart>
      <c:catAx>
        <c:axId val="118891648"/>
        <c:scaling>
          <c:orientation val="minMax"/>
        </c:scaling>
        <c:delete val="0"/>
        <c:axPos val="b"/>
        <c:numFmt formatCode="###0&quot; Actif&quot;" sourceLinked="1"/>
        <c:majorTickMark val="out"/>
        <c:minorTickMark val="none"/>
        <c:tickLblPos val="low"/>
        <c:txPr>
          <a:bodyPr/>
          <a:lstStyle/>
          <a:p>
            <a:pPr>
              <a:defRPr sz="1100" b="1"/>
            </a:pPr>
            <a:endParaRPr lang="fr-FR"/>
          </a:p>
        </c:txPr>
        <c:crossAx val="118893184"/>
        <c:crosses val="autoZero"/>
        <c:auto val="1"/>
        <c:lblAlgn val="ctr"/>
        <c:lblOffset val="100"/>
        <c:noMultiLvlLbl val="0"/>
      </c:catAx>
      <c:valAx>
        <c:axId val="118893184"/>
        <c:scaling>
          <c:orientation val="minMax"/>
        </c:scaling>
        <c:delete val="0"/>
        <c:axPos val="l"/>
        <c:majorGridlines/>
        <c:numFmt formatCode="0%" sourceLinked="0"/>
        <c:majorTickMark val="out"/>
        <c:minorTickMark val="none"/>
        <c:tickLblPos val="nextTo"/>
        <c:crossAx val="118891648"/>
        <c:crosses val="autoZero"/>
        <c:crossBetween val="between"/>
      </c:valAx>
    </c:plotArea>
    <c:legend>
      <c:legendPos val="r"/>
      <c:layout>
        <c:manualLayout>
          <c:xMode val="edge"/>
          <c:yMode val="edge"/>
          <c:x val="0.80316092771780956"/>
          <c:y val="2.6156946528607308E-2"/>
          <c:w val="0.19489297197500213"/>
          <c:h val="0.72695586073996932"/>
        </c:manualLayout>
      </c:layout>
      <c:overlay val="0"/>
      <c:txPr>
        <a:bodyPr/>
        <a:lstStyle/>
        <a:p>
          <a:pPr>
            <a:defRPr sz="1100" baseline="0"/>
          </a:pPr>
          <a:endParaRPr lang="fr-FR"/>
        </a:p>
      </c:txPr>
    </c:legend>
    <c:plotVisOnly val="1"/>
    <c:dispBlanksAs val="gap"/>
    <c:showDLblsOverMax val="0"/>
  </c:chart>
  <c:spPr>
    <a:solidFill>
      <a:schemeClr val="bg2"/>
    </a:solidFill>
    <a:effectLst/>
  </c:spPr>
  <c:printSettings>
    <c:headerFooter/>
    <c:pageMargins b="0.750000000000004" l="0.70000000000000162" r="0.70000000000000162" t="0.75000000000000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0"/>
      <c:perspective val="100"/>
    </c:view3D>
    <c:floor>
      <c:thickness val="0"/>
    </c:floor>
    <c:sideWall>
      <c:thickness val="0"/>
    </c:sideWall>
    <c:backWall>
      <c:thickness val="0"/>
    </c:backWall>
    <c:plotArea>
      <c:layout>
        <c:manualLayout>
          <c:layoutTarget val="inner"/>
          <c:xMode val="edge"/>
          <c:yMode val="edge"/>
          <c:x val="9.62522867111366E-2"/>
          <c:y val="5.7864330824570508E-2"/>
          <c:w val="0.73027771771885164"/>
          <c:h val="0.79498940798827722"/>
        </c:manualLayout>
      </c:layout>
      <c:bar3DChart>
        <c:barDir val="col"/>
        <c:grouping val="stacked"/>
        <c:varyColors val="0"/>
        <c:ser>
          <c:idx val="0"/>
          <c:order val="0"/>
          <c:tx>
            <c:strRef>
              <c:f>'Sources schémas'!$B$36</c:f>
              <c:strCache>
                <c:ptCount val="1"/>
                <c:pt idx="0">
                  <c:v>Masse salariale adm.&amp;encadrants</c:v>
                </c:pt>
              </c:strCache>
            </c:strRef>
          </c:tx>
          <c:spPr>
            <a:solidFill>
              <a:srgbClr val="CC3300"/>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schémas'!$C$36:$H$36</c:f>
              <c:numCache>
                <c:formatCode>###0" Produits"</c:formatCode>
                <c:ptCount val="6"/>
                <c:pt idx="0" formatCode="#,##0">
                  <c:v>0</c:v>
                </c:pt>
                <c:pt idx="2" formatCode="#,##0">
                  <c:v>0</c:v>
                </c:pt>
                <c:pt idx="4" formatCode="#,##0">
                  <c:v>0</c:v>
                </c:pt>
              </c:numCache>
            </c:numRef>
          </c:val>
        </c:ser>
        <c:ser>
          <c:idx val="1"/>
          <c:order val="1"/>
          <c:tx>
            <c:strRef>
              <c:f>'Sources schémas'!$B$37</c:f>
              <c:strCache>
                <c:ptCount val="1"/>
                <c:pt idx="0">
                  <c:v>Frais de structure</c:v>
                </c:pt>
              </c:strCache>
            </c:strRef>
          </c:tx>
          <c:spPr>
            <a:solidFill>
              <a:schemeClr val="accent6">
                <a:lumMod val="75000"/>
              </a:schemeClr>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schémas'!$C$37:$H$37</c:f>
              <c:numCache>
                <c:formatCode>###0" Produits"</c:formatCode>
                <c:ptCount val="6"/>
                <c:pt idx="0" formatCode="#,##0">
                  <c:v>0</c:v>
                </c:pt>
                <c:pt idx="2" formatCode="#,##0">
                  <c:v>0</c:v>
                </c:pt>
                <c:pt idx="4" formatCode="#,##0">
                  <c:v>0</c:v>
                </c:pt>
              </c:numCache>
            </c:numRef>
          </c:val>
        </c:ser>
        <c:ser>
          <c:idx val="2"/>
          <c:order val="2"/>
          <c:tx>
            <c:strRef>
              <c:f>'Sources schémas'!$B$38</c:f>
              <c:strCache>
                <c:ptCount val="1"/>
                <c:pt idx="0">
                  <c:v>Charges variables (yc intervenants)</c:v>
                </c:pt>
              </c:strCache>
            </c:strRef>
          </c:tx>
          <c:spPr>
            <a:solidFill>
              <a:srgbClr val="FFCC66"/>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schémas'!$C$38:$H$38</c:f>
              <c:numCache>
                <c:formatCode>###0" Produits"</c:formatCode>
                <c:ptCount val="6"/>
                <c:pt idx="0" formatCode="#,##0">
                  <c:v>0</c:v>
                </c:pt>
                <c:pt idx="2" formatCode="#,##0">
                  <c:v>0</c:v>
                </c:pt>
                <c:pt idx="4" formatCode="#,##0">
                  <c:v>0</c:v>
                </c:pt>
              </c:numCache>
            </c:numRef>
          </c:val>
        </c:ser>
        <c:ser>
          <c:idx val="3"/>
          <c:order val="3"/>
          <c:tx>
            <c:strRef>
              <c:f>'Sources schémas'!$B$39</c:f>
              <c:strCache>
                <c:ptCount val="1"/>
                <c:pt idx="0">
                  <c:v>Autres charges</c:v>
                </c:pt>
              </c:strCache>
            </c:strRef>
          </c:tx>
          <c:spPr>
            <a:solidFill>
              <a:srgbClr val="FFFF99"/>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schémas'!$C$39:$H$39</c:f>
              <c:numCache>
                <c:formatCode>###0" Produits"</c:formatCode>
                <c:ptCount val="6"/>
                <c:pt idx="0" formatCode="#,##0">
                  <c:v>0</c:v>
                </c:pt>
                <c:pt idx="2" formatCode="#,##0">
                  <c:v>0</c:v>
                </c:pt>
                <c:pt idx="4" formatCode="#,##0">
                  <c:v>0</c:v>
                </c:pt>
              </c:numCache>
            </c:numRef>
          </c:val>
        </c:ser>
        <c:ser>
          <c:idx val="4"/>
          <c:order val="4"/>
          <c:tx>
            <c:strRef>
              <c:f>'Sources schémas'!$B$40</c:f>
              <c:strCache>
                <c:ptCount val="1"/>
                <c:pt idx="0">
                  <c:v>Facturation 1/3 payeurs</c:v>
                </c:pt>
              </c:strCache>
            </c:strRef>
          </c:tx>
          <c:spPr>
            <a:solidFill>
              <a:schemeClr val="accent5">
                <a:lumMod val="75000"/>
              </a:schemeClr>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schémas'!$C$40:$H$40</c:f>
              <c:numCache>
                <c:formatCode>#,##0</c:formatCode>
                <c:ptCount val="6"/>
                <c:pt idx="1">
                  <c:v>0</c:v>
                </c:pt>
                <c:pt idx="3">
                  <c:v>0</c:v>
                </c:pt>
                <c:pt idx="5">
                  <c:v>0</c:v>
                </c:pt>
              </c:numCache>
            </c:numRef>
          </c:val>
        </c:ser>
        <c:ser>
          <c:idx val="5"/>
          <c:order val="5"/>
          <c:tx>
            <c:strRef>
              <c:f>'Sources schémas'!$B$41</c:f>
              <c:strCache>
                <c:ptCount val="1"/>
                <c:pt idx="0">
                  <c:v>Participation des usagers</c:v>
                </c:pt>
              </c:strCache>
            </c:strRef>
          </c:tx>
          <c:spPr>
            <a:solidFill>
              <a:srgbClr val="00B0F0"/>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schémas'!$C$41:$H$41</c:f>
              <c:numCache>
                <c:formatCode>#,##0</c:formatCode>
                <c:ptCount val="6"/>
                <c:pt idx="1">
                  <c:v>0</c:v>
                </c:pt>
                <c:pt idx="3">
                  <c:v>0</c:v>
                </c:pt>
                <c:pt idx="5">
                  <c:v>0</c:v>
                </c:pt>
              </c:numCache>
            </c:numRef>
          </c:val>
        </c:ser>
        <c:ser>
          <c:idx val="6"/>
          <c:order val="6"/>
          <c:tx>
            <c:strRef>
              <c:f>'Sources schémas'!$B$42</c:f>
              <c:strCache>
                <c:ptCount val="1"/>
                <c:pt idx="0">
                  <c:v>Subventions, Aides à l'emploi</c:v>
                </c:pt>
              </c:strCache>
            </c:strRef>
          </c:tx>
          <c:spPr>
            <a:solidFill>
              <a:srgbClr val="7030A0"/>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schémas'!$C$42:$H$42</c:f>
              <c:numCache>
                <c:formatCode>#,##0</c:formatCode>
                <c:ptCount val="6"/>
                <c:pt idx="1">
                  <c:v>0</c:v>
                </c:pt>
                <c:pt idx="3">
                  <c:v>0</c:v>
                </c:pt>
                <c:pt idx="5">
                  <c:v>0</c:v>
                </c:pt>
              </c:numCache>
            </c:numRef>
          </c:val>
        </c:ser>
        <c:ser>
          <c:idx val="7"/>
          <c:order val="7"/>
          <c:tx>
            <c:strRef>
              <c:f>'Sources schémas'!$B$43</c:f>
              <c:strCache>
                <c:ptCount val="1"/>
                <c:pt idx="0">
                  <c:v>Autres produits</c:v>
                </c:pt>
              </c:strCache>
            </c:strRef>
          </c:tx>
          <c:spPr>
            <a:solidFill>
              <a:schemeClr val="accent3">
                <a:lumMod val="40000"/>
                <a:lumOff val="60000"/>
              </a:schemeClr>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schémas'!$C$43:$H$43</c:f>
              <c:numCache>
                <c:formatCode>#,##0</c:formatCode>
                <c:ptCount val="6"/>
                <c:pt idx="1">
                  <c:v>0</c:v>
                </c:pt>
                <c:pt idx="3">
                  <c:v>0</c:v>
                </c:pt>
                <c:pt idx="5">
                  <c:v>0</c:v>
                </c:pt>
              </c:numCache>
            </c:numRef>
          </c:val>
        </c:ser>
        <c:dLbls>
          <c:showLegendKey val="0"/>
          <c:showVal val="0"/>
          <c:showCatName val="0"/>
          <c:showSerName val="0"/>
          <c:showPercent val="0"/>
          <c:showBubbleSize val="0"/>
        </c:dLbls>
        <c:gapWidth val="150"/>
        <c:shape val="box"/>
        <c:axId val="118944128"/>
        <c:axId val="118945664"/>
        <c:axId val="0"/>
      </c:bar3DChart>
      <c:catAx>
        <c:axId val="118944128"/>
        <c:scaling>
          <c:orientation val="minMax"/>
        </c:scaling>
        <c:delete val="0"/>
        <c:axPos val="b"/>
        <c:numFmt formatCode="###0&quot; Charges&quot;" sourceLinked="1"/>
        <c:majorTickMark val="out"/>
        <c:minorTickMark val="none"/>
        <c:tickLblPos val="low"/>
        <c:txPr>
          <a:bodyPr rot="0" vert="horz" anchor="t" anchorCtr="0"/>
          <a:lstStyle/>
          <a:p>
            <a:pPr>
              <a:defRPr sz="1050" b="1">
                <a:latin typeface="Arial" pitchFamily="34" charset="0"/>
                <a:cs typeface="Arial" pitchFamily="34" charset="0"/>
              </a:defRPr>
            </a:pPr>
            <a:endParaRPr lang="fr-FR"/>
          </a:p>
        </c:txPr>
        <c:crossAx val="118945664"/>
        <c:crosses val="autoZero"/>
        <c:auto val="1"/>
        <c:lblAlgn val="ctr"/>
        <c:lblOffset val="100"/>
        <c:noMultiLvlLbl val="0"/>
      </c:catAx>
      <c:valAx>
        <c:axId val="118945664"/>
        <c:scaling>
          <c:orientation val="minMax"/>
        </c:scaling>
        <c:delete val="0"/>
        <c:axPos val="l"/>
        <c:majorGridlines/>
        <c:numFmt formatCode="#,##0" sourceLinked="1"/>
        <c:majorTickMark val="out"/>
        <c:minorTickMark val="none"/>
        <c:tickLblPos val="nextTo"/>
        <c:crossAx val="118944128"/>
        <c:crosses val="autoZero"/>
        <c:crossBetween val="between"/>
      </c:valAx>
    </c:plotArea>
    <c:legend>
      <c:legendPos val="r"/>
      <c:layout>
        <c:manualLayout>
          <c:xMode val="edge"/>
          <c:yMode val="edge"/>
          <c:x val="0.83227030050631345"/>
          <c:y val="1.9715260474381234E-2"/>
          <c:w val="0.16772972997987817"/>
          <c:h val="0.96373669676742701"/>
        </c:manualLayout>
      </c:layout>
      <c:overlay val="0"/>
      <c:txPr>
        <a:bodyPr/>
        <a:lstStyle/>
        <a:p>
          <a:pPr>
            <a:defRPr sz="1050"/>
          </a:pPr>
          <a:endParaRPr lang="fr-FR"/>
        </a:p>
      </c:txPr>
    </c:legend>
    <c:plotVisOnly val="1"/>
    <c:dispBlanksAs val="gap"/>
    <c:showDLblsOverMax val="0"/>
  </c:chart>
  <c:spPr>
    <a:solidFill>
      <a:schemeClr val="bg2"/>
    </a:solidFill>
    <a:ln>
      <a:solidFill>
        <a:schemeClr val="tx1">
          <a:lumMod val="50000"/>
          <a:lumOff val="50000"/>
        </a:schemeClr>
      </a:solidFill>
    </a:ln>
  </c:spPr>
  <c:printSettings>
    <c:headerFooter/>
    <c:pageMargins b="0.750000000000004" l="0.70000000000000162" r="0.70000000000000162" t="0.750000000000004"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270993223688107E-2"/>
          <c:y val="5.5047603608003634E-2"/>
          <c:w val="0.91245200705695373"/>
          <c:h val="0.72542706782500921"/>
        </c:manualLayout>
      </c:layout>
      <c:barChart>
        <c:barDir val="col"/>
        <c:grouping val="clustered"/>
        <c:varyColors val="0"/>
        <c:ser>
          <c:idx val="0"/>
          <c:order val="0"/>
          <c:tx>
            <c:strRef>
              <c:f>'Sources schémas'!$C$64</c:f>
              <c:strCache>
                <c:ptCount val="1"/>
                <c:pt idx="0">
                  <c:v>h. fact. SAD PA/PH</c:v>
                </c:pt>
              </c:strCache>
            </c:strRef>
          </c:tx>
          <c:spPr>
            <a:solidFill>
              <a:srgbClr val="00B050"/>
            </a:solidFill>
          </c:spPr>
          <c:invertIfNegative val="0"/>
          <c:cat>
            <c:numRef>
              <c:f>'Sources schémas'!$B$65:$B$70</c:f>
              <c:numCache>
                <c:formatCode>General</c:formatCode>
                <c:ptCount val="6"/>
                <c:pt idx="0">
                  <c:v>2014</c:v>
                </c:pt>
                <c:pt idx="1">
                  <c:v>2015</c:v>
                </c:pt>
                <c:pt idx="2" formatCode="0">
                  <c:v>2016</c:v>
                </c:pt>
                <c:pt idx="3">
                  <c:v>2017</c:v>
                </c:pt>
                <c:pt idx="4">
                  <c:v>2018</c:v>
                </c:pt>
                <c:pt idx="5">
                  <c:v>2019</c:v>
                </c:pt>
              </c:numCache>
            </c:numRef>
          </c:cat>
          <c:val>
            <c:numRef>
              <c:f>'Sources schémas'!$C$65:$C$70</c:f>
              <c:numCache>
                <c:formatCode>#,##0</c:formatCode>
                <c:ptCount val="6"/>
                <c:pt idx="0">
                  <c:v>0</c:v>
                </c:pt>
                <c:pt idx="1">
                  <c:v>0</c:v>
                </c:pt>
                <c:pt idx="2">
                  <c:v>0</c:v>
                </c:pt>
                <c:pt idx="3">
                  <c:v>0</c:v>
                </c:pt>
                <c:pt idx="4">
                  <c:v>0</c:v>
                </c:pt>
                <c:pt idx="5">
                  <c:v>0</c:v>
                </c:pt>
              </c:numCache>
            </c:numRef>
          </c:val>
        </c:ser>
        <c:ser>
          <c:idx val="1"/>
          <c:order val="1"/>
          <c:tx>
            <c:strRef>
              <c:f>'Sources schémas'!$D$64</c:f>
              <c:strCache>
                <c:ptCount val="1"/>
                <c:pt idx="0">
                  <c:v>h. rém. SAD PA/PH </c:v>
                </c:pt>
              </c:strCache>
            </c:strRef>
          </c:tx>
          <c:spPr>
            <a:pattFill prst="sphere">
              <a:fgClr>
                <a:srgbClr val="00B050"/>
              </a:fgClr>
              <a:bgClr>
                <a:schemeClr val="bg1"/>
              </a:bgClr>
            </a:pattFill>
          </c:spPr>
          <c:invertIfNegative val="0"/>
          <c:cat>
            <c:numRef>
              <c:f>'Sources schémas'!$B$65:$B$70</c:f>
              <c:numCache>
                <c:formatCode>General</c:formatCode>
                <c:ptCount val="6"/>
                <c:pt idx="0">
                  <c:v>2014</c:v>
                </c:pt>
                <c:pt idx="1">
                  <c:v>2015</c:v>
                </c:pt>
                <c:pt idx="2" formatCode="0">
                  <c:v>2016</c:v>
                </c:pt>
                <c:pt idx="3">
                  <c:v>2017</c:v>
                </c:pt>
                <c:pt idx="4">
                  <c:v>2018</c:v>
                </c:pt>
                <c:pt idx="5">
                  <c:v>2019</c:v>
                </c:pt>
              </c:numCache>
            </c:numRef>
          </c:cat>
          <c:val>
            <c:numRef>
              <c:f>'Sources schémas'!$D$65:$D$70</c:f>
              <c:numCache>
                <c:formatCode>#,##0</c:formatCode>
                <c:ptCount val="6"/>
                <c:pt idx="0">
                  <c:v>0</c:v>
                </c:pt>
                <c:pt idx="1">
                  <c:v>0</c:v>
                </c:pt>
                <c:pt idx="2">
                  <c:v>0</c:v>
                </c:pt>
                <c:pt idx="3">
                  <c:v>0</c:v>
                </c:pt>
                <c:pt idx="4">
                  <c:v>0</c:v>
                </c:pt>
                <c:pt idx="5">
                  <c:v>0</c:v>
                </c:pt>
              </c:numCache>
            </c:numRef>
          </c:val>
        </c:ser>
        <c:ser>
          <c:idx val="2"/>
          <c:order val="2"/>
          <c:tx>
            <c:strRef>
              <c:f>'Sources schémas'!$E$64</c:f>
              <c:strCache>
                <c:ptCount val="1"/>
                <c:pt idx="0">
                  <c:v>h. fact. SAD Famille</c:v>
                </c:pt>
              </c:strCache>
            </c:strRef>
          </c:tx>
          <c:spPr>
            <a:solidFill>
              <a:srgbClr val="878543"/>
            </a:solidFill>
          </c:spPr>
          <c:invertIfNegative val="0"/>
          <c:cat>
            <c:numRef>
              <c:f>'Sources schémas'!$B$65:$B$70</c:f>
              <c:numCache>
                <c:formatCode>General</c:formatCode>
                <c:ptCount val="6"/>
                <c:pt idx="0">
                  <c:v>2014</c:v>
                </c:pt>
                <c:pt idx="1">
                  <c:v>2015</c:v>
                </c:pt>
                <c:pt idx="2" formatCode="0">
                  <c:v>2016</c:v>
                </c:pt>
                <c:pt idx="3">
                  <c:v>2017</c:v>
                </c:pt>
                <c:pt idx="4">
                  <c:v>2018</c:v>
                </c:pt>
                <c:pt idx="5">
                  <c:v>2019</c:v>
                </c:pt>
              </c:numCache>
            </c:numRef>
          </c:cat>
          <c:val>
            <c:numRef>
              <c:f>'Sources schémas'!$E$65:$E$70</c:f>
              <c:numCache>
                <c:formatCode>#,##0</c:formatCode>
                <c:ptCount val="6"/>
                <c:pt idx="0">
                  <c:v>0</c:v>
                </c:pt>
                <c:pt idx="1">
                  <c:v>0</c:v>
                </c:pt>
                <c:pt idx="2">
                  <c:v>0</c:v>
                </c:pt>
                <c:pt idx="3">
                  <c:v>0</c:v>
                </c:pt>
                <c:pt idx="4">
                  <c:v>0</c:v>
                </c:pt>
                <c:pt idx="5">
                  <c:v>0</c:v>
                </c:pt>
              </c:numCache>
            </c:numRef>
          </c:val>
        </c:ser>
        <c:ser>
          <c:idx val="3"/>
          <c:order val="3"/>
          <c:tx>
            <c:strRef>
              <c:f>'Sources schémas'!$F$64</c:f>
              <c:strCache>
                <c:ptCount val="1"/>
                <c:pt idx="0">
                  <c:v>h. rém. SAD famille</c:v>
                </c:pt>
              </c:strCache>
            </c:strRef>
          </c:tx>
          <c:spPr>
            <a:pattFill prst="sphere">
              <a:fgClr>
                <a:srgbClr val="878543"/>
              </a:fgClr>
              <a:bgClr>
                <a:schemeClr val="bg1"/>
              </a:bgClr>
            </a:pattFill>
          </c:spPr>
          <c:invertIfNegative val="0"/>
          <c:cat>
            <c:numRef>
              <c:f>'Sources schémas'!$B$65:$B$70</c:f>
              <c:numCache>
                <c:formatCode>General</c:formatCode>
                <c:ptCount val="6"/>
                <c:pt idx="0">
                  <c:v>2014</c:v>
                </c:pt>
                <c:pt idx="1">
                  <c:v>2015</c:v>
                </c:pt>
                <c:pt idx="2" formatCode="0">
                  <c:v>2016</c:v>
                </c:pt>
                <c:pt idx="3">
                  <c:v>2017</c:v>
                </c:pt>
                <c:pt idx="4">
                  <c:v>2018</c:v>
                </c:pt>
                <c:pt idx="5">
                  <c:v>2019</c:v>
                </c:pt>
              </c:numCache>
            </c:numRef>
          </c:cat>
          <c:val>
            <c:numRef>
              <c:f>'Sources schémas'!$F$65:$F$70</c:f>
              <c:numCache>
                <c:formatCode>#,##0</c:formatCode>
                <c:ptCount val="6"/>
                <c:pt idx="0">
                  <c:v>0</c:v>
                </c:pt>
                <c:pt idx="1">
                  <c:v>0</c:v>
                </c:pt>
                <c:pt idx="2">
                  <c:v>0</c:v>
                </c:pt>
                <c:pt idx="3">
                  <c:v>0</c:v>
                </c:pt>
                <c:pt idx="4">
                  <c:v>0</c:v>
                </c:pt>
                <c:pt idx="5">
                  <c:v>0</c:v>
                </c:pt>
              </c:numCache>
            </c:numRef>
          </c:val>
        </c:ser>
        <c:ser>
          <c:idx val="4"/>
          <c:order val="4"/>
          <c:tx>
            <c:strRef>
              <c:f>'Sources schémas'!$G$64</c:f>
              <c:strCache>
                <c:ptCount val="1"/>
                <c:pt idx="0">
                  <c:v>h. fact. SAD mandataire</c:v>
                </c:pt>
              </c:strCache>
            </c:strRef>
          </c:tx>
          <c:spPr>
            <a:solidFill>
              <a:srgbClr val="92D050"/>
            </a:solidFill>
          </c:spPr>
          <c:invertIfNegative val="0"/>
          <c:cat>
            <c:numRef>
              <c:f>'Sources schémas'!$B$65:$B$70</c:f>
              <c:numCache>
                <c:formatCode>General</c:formatCode>
                <c:ptCount val="6"/>
                <c:pt idx="0">
                  <c:v>2014</c:v>
                </c:pt>
                <c:pt idx="1">
                  <c:v>2015</c:v>
                </c:pt>
                <c:pt idx="2" formatCode="0">
                  <c:v>2016</c:v>
                </c:pt>
                <c:pt idx="3">
                  <c:v>2017</c:v>
                </c:pt>
                <c:pt idx="4">
                  <c:v>2018</c:v>
                </c:pt>
                <c:pt idx="5">
                  <c:v>2019</c:v>
                </c:pt>
              </c:numCache>
            </c:numRef>
          </c:cat>
          <c:val>
            <c:numRef>
              <c:f>'Sources schémas'!$G$65:$G$70</c:f>
              <c:numCache>
                <c:formatCode>#,##0</c:formatCode>
                <c:ptCount val="6"/>
                <c:pt idx="0">
                  <c:v>0</c:v>
                </c:pt>
                <c:pt idx="1">
                  <c:v>0</c:v>
                </c:pt>
                <c:pt idx="2">
                  <c:v>0</c:v>
                </c:pt>
                <c:pt idx="3">
                  <c:v>0</c:v>
                </c:pt>
                <c:pt idx="4">
                  <c:v>0</c:v>
                </c:pt>
                <c:pt idx="5">
                  <c:v>0</c:v>
                </c:pt>
              </c:numCache>
            </c:numRef>
          </c:val>
        </c:ser>
        <c:ser>
          <c:idx val="5"/>
          <c:order val="5"/>
          <c:tx>
            <c:strRef>
              <c:f>'Sources schémas'!$H$64</c:f>
              <c:strCache>
                <c:ptCount val="1"/>
                <c:pt idx="0">
                  <c:v>h. rém. SAD mandataire</c:v>
                </c:pt>
              </c:strCache>
            </c:strRef>
          </c:tx>
          <c:spPr>
            <a:pattFill prst="sphere">
              <a:fgClr>
                <a:srgbClr val="92D050"/>
              </a:fgClr>
              <a:bgClr>
                <a:schemeClr val="bg1"/>
              </a:bgClr>
            </a:pattFill>
          </c:spPr>
          <c:invertIfNegative val="0"/>
          <c:cat>
            <c:numRef>
              <c:f>'Sources schémas'!$B$65:$B$70</c:f>
              <c:numCache>
                <c:formatCode>General</c:formatCode>
                <c:ptCount val="6"/>
                <c:pt idx="0">
                  <c:v>2014</c:v>
                </c:pt>
                <c:pt idx="1">
                  <c:v>2015</c:v>
                </c:pt>
                <c:pt idx="2" formatCode="0">
                  <c:v>2016</c:v>
                </c:pt>
                <c:pt idx="3">
                  <c:v>2017</c:v>
                </c:pt>
                <c:pt idx="4">
                  <c:v>2018</c:v>
                </c:pt>
                <c:pt idx="5">
                  <c:v>2019</c:v>
                </c:pt>
              </c:numCache>
            </c:numRef>
          </c:cat>
          <c:val>
            <c:numRef>
              <c:f>'Sources schémas'!$H$65:$H$70</c:f>
              <c:numCache>
                <c:formatCode>#,##0</c:formatCode>
                <c:ptCount val="6"/>
                <c:pt idx="0">
                  <c:v>0</c:v>
                </c:pt>
                <c:pt idx="1">
                  <c:v>0</c:v>
                </c:pt>
                <c:pt idx="2">
                  <c:v>0</c:v>
                </c:pt>
                <c:pt idx="3">
                  <c:v>0</c:v>
                </c:pt>
                <c:pt idx="4">
                  <c:v>0</c:v>
                </c:pt>
                <c:pt idx="5">
                  <c:v>0</c:v>
                </c:pt>
              </c:numCache>
            </c:numRef>
          </c:val>
        </c:ser>
        <c:ser>
          <c:idx val="6"/>
          <c:order val="6"/>
          <c:tx>
            <c:strRef>
              <c:f>'Sources schémas'!$I$64</c:f>
              <c:strCache>
                <c:ptCount val="1"/>
                <c:pt idx="0">
                  <c:v>h. fact. SAP prest. confort</c:v>
                </c:pt>
              </c:strCache>
            </c:strRef>
          </c:tx>
          <c:spPr>
            <a:solidFill>
              <a:srgbClr val="FFFF00"/>
            </a:solidFill>
          </c:spPr>
          <c:invertIfNegative val="0"/>
          <c:cat>
            <c:numRef>
              <c:f>'Sources schémas'!$B$65:$B$70</c:f>
              <c:numCache>
                <c:formatCode>General</c:formatCode>
                <c:ptCount val="6"/>
                <c:pt idx="0">
                  <c:v>2014</c:v>
                </c:pt>
                <c:pt idx="1">
                  <c:v>2015</c:v>
                </c:pt>
                <c:pt idx="2" formatCode="0">
                  <c:v>2016</c:v>
                </c:pt>
                <c:pt idx="3">
                  <c:v>2017</c:v>
                </c:pt>
                <c:pt idx="4">
                  <c:v>2018</c:v>
                </c:pt>
                <c:pt idx="5">
                  <c:v>2019</c:v>
                </c:pt>
              </c:numCache>
            </c:numRef>
          </c:cat>
          <c:val>
            <c:numRef>
              <c:f>'Sources schémas'!$I$65:$I$70</c:f>
              <c:numCache>
                <c:formatCode>#,##0</c:formatCode>
                <c:ptCount val="6"/>
                <c:pt idx="0">
                  <c:v>0</c:v>
                </c:pt>
                <c:pt idx="1">
                  <c:v>0</c:v>
                </c:pt>
                <c:pt idx="2">
                  <c:v>0</c:v>
                </c:pt>
                <c:pt idx="3">
                  <c:v>0</c:v>
                </c:pt>
                <c:pt idx="4">
                  <c:v>0</c:v>
                </c:pt>
                <c:pt idx="5">
                  <c:v>0</c:v>
                </c:pt>
              </c:numCache>
            </c:numRef>
          </c:val>
        </c:ser>
        <c:ser>
          <c:idx val="7"/>
          <c:order val="7"/>
          <c:tx>
            <c:strRef>
              <c:f>'Sources schémas'!$J$64</c:f>
              <c:strCache>
                <c:ptCount val="1"/>
                <c:pt idx="0">
                  <c:v>h. rém. SAP prest. confort</c:v>
                </c:pt>
              </c:strCache>
            </c:strRef>
          </c:tx>
          <c:spPr>
            <a:pattFill prst="sphere">
              <a:fgClr>
                <a:srgbClr val="FFFF00"/>
              </a:fgClr>
              <a:bgClr>
                <a:schemeClr val="bg1"/>
              </a:bgClr>
            </a:pattFill>
          </c:spPr>
          <c:invertIfNegative val="0"/>
          <c:cat>
            <c:numRef>
              <c:f>'Sources schémas'!$B$65:$B$70</c:f>
              <c:numCache>
                <c:formatCode>General</c:formatCode>
                <c:ptCount val="6"/>
                <c:pt idx="0">
                  <c:v>2014</c:v>
                </c:pt>
                <c:pt idx="1">
                  <c:v>2015</c:v>
                </c:pt>
                <c:pt idx="2" formatCode="0">
                  <c:v>2016</c:v>
                </c:pt>
                <c:pt idx="3">
                  <c:v>2017</c:v>
                </c:pt>
                <c:pt idx="4">
                  <c:v>2018</c:v>
                </c:pt>
                <c:pt idx="5">
                  <c:v>2019</c:v>
                </c:pt>
              </c:numCache>
            </c:numRef>
          </c:cat>
          <c:val>
            <c:numRef>
              <c:f>'Sources schémas'!$J$65:$J$70</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18989568"/>
        <c:axId val="118991104"/>
      </c:barChart>
      <c:catAx>
        <c:axId val="118989568"/>
        <c:scaling>
          <c:orientation val="minMax"/>
        </c:scaling>
        <c:delete val="0"/>
        <c:axPos val="b"/>
        <c:numFmt formatCode="General" sourceLinked="1"/>
        <c:majorTickMark val="out"/>
        <c:minorTickMark val="none"/>
        <c:tickLblPos val="nextTo"/>
        <c:txPr>
          <a:bodyPr/>
          <a:lstStyle/>
          <a:p>
            <a:pPr>
              <a:defRPr sz="1200" b="1"/>
            </a:pPr>
            <a:endParaRPr lang="fr-FR"/>
          </a:p>
        </c:txPr>
        <c:crossAx val="118991104"/>
        <c:crosses val="autoZero"/>
        <c:auto val="1"/>
        <c:lblAlgn val="ctr"/>
        <c:lblOffset val="100"/>
        <c:noMultiLvlLbl val="0"/>
      </c:catAx>
      <c:valAx>
        <c:axId val="118991104"/>
        <c:scaling>
          <c:orientation val="minMax"/>
        </c:scaling>
        <c:delete val="0"/>
        <c:axPos val="l"/>
        <c:majorGridlines/>
        <c:numFmt formatCode="#,##0" sourceLinked="1"/>
        <c:majorTickMark val="out"/>
        <c:minorTickMark val="none"/>
        <c:tickLblPos val="nextTo"/>
        <c:crossAx val="118989568"/>
        <c:crosses val="autoZero"/>
        <c:crossBetween val="between"/>
      </c:valAx>
      <c:spPr>
        <a:solidFill>
          <a:schemeClr val="bg2"/>
        </a:solidFill>
      </c:spPr>
    </c:plotArea>
    <c:legend>
      <c:legendPos val="b"/>
      <c:layout>
        <c:manualLayout>
          <c:xMode val="edge"/>
          <c:yMode val="edge"/>
          <c:x val="3.3564860002305769E-2"/>
          <c:y val="0.86315771112782469"/>
          <c:w val="0.95474527856002256"/>
          <c:h val="0.12381144887550009"/>
        </c:manualLayout>
      </c:layout>
      <c:overlay val="0"/>
      <c:txPr>
        <a:bodyPr/>
        <a:lstStyle/>
        <a:p>
          <a:pPr>
            <a:defRPr sz="1200" b="0"/>
          </a:pPr>
          <a:endParaRPr lang="fr-FR"/>
        </a:p>
      </c:txPr>
    </c:legend>
    <c:plotVisOnly val="1"/>
    <c:dispBlanksAs val="gap"/>
    <c:showDLblsOverMax val="0"/>
  </c:chart>
  <c:spPr>
    <a:solidFill>
      <a:schemeClr val="bg2"/>
    </a:solidFill>
  </c:spPr>
  <c:printSettings>
    <c:headerFooter/>
    <c:pageMargins b="0.750000000000003" l="0.70000000000000162" r="0.70000000000000162" t="0.75000000000000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bg1"/>
                </a:solidFill>
              </a:defRPr>
            </a:pPr>
            <a:r>
              <a:rPr lang="fr-FR" sz="1200">
                <a:solidFill>
                  <a:schemeClr val="bg1"/>
                </a:solidFill>
              </a:rPr>
              <a:t>Charges  -SAD PA/PH - Prestataire</a:t>
            </a:r>
          </a:p>
        </c:rich>
      </c:tx>
      <c:layout>
        <c:manualLayout>
          <c:xMode val="edge"/>
          <c:yMode val="edge"/>
          <c:x val="1.178595533782294E-2"/>
          <c:y val="3.0155463516651191E-2"/>
        </c:manualLayout>
      </c:layout>
      <c:overlay val="0"/>
      <c:spPr>
        <a:solidFill>
          <a:srgbClr val="00B050"/>
        </a:solidFill>
      </c:spPr>
    </c:title>
    <c:autoTitleDeleted val="0"/>
    <c:plotArea>
      <c:layout>
        <c:manualLayout>
          <c:layoutTarget val="inner"/>
          <c:xMode val="edge"/>
          <c:yMode val="edge"/>
          <c:x val="0.14037570303712041"/>
          <c:y val="0.26420209858339527"/>
          <c:w val="0.80679890013748357"/>
          <c:h val="0.66040250079170859"/>
        </c:manualLayout>
      </c:layout>
      <c:areaChart>
        <c:grouping val="stacked"/>
        <c:varyColors val="0"/>
        <c:ser>
          <c:idx val="0"/>
          <c:order val="0"/>
          <c:tx>
            <c:strRef>
              <c:f>'Sources schémas'!$B$87</c:f>
              <c:strCache>
                <c:ptCount val="1"/>
                <c:pt idx="0">
                  <c:v>Masse salariale</c:v>
                </c:pt>
              </c:strCache>
            </c:strRef>
          </c:tx>
          <c:spPr>
            <a:solidFill>
              <a:schemeClr val="accent2">
                <a:lumMod val="50000"/>
              </a:schemeClr>
            </a:solidFill>
          </c:spPr>
          <c:cat>
            <c:numRef>
              <c:f>'Sources schémas'!$C$86:$H$86</c:f>
              <c:numCache>
                <c:formatCode>General</c:formatCode>
                <c:ptCount val="6"/>
                <c:pt idx="0">
                  <c:v>2014</c:v>
                </c:pt>
                <c:pt idx="1">
                  <c:v>2015</c:v>
                </c:pt>
                <c:pt idx="2">
                  <c:v>2016</c:v>
                </c:pt>
                <c:pt idx="3">
                  <c:v>2017</c:v>
                </c:pt>
                <c:pt idx="4">
                  <c:v>2018</c:v>
                </c:pt>
                <c:pt idx="5">
                  <c:v>2019</c:v>
                </c:pt>
              </c:numCache>
            </c:numRef>
          </c:cat>
          <c:val>
            <c:numRef>
              <c:f>'Sources schémas'!$C$87:$H$87</c:f>
              <c:numCache>
                <c:formatCode>#,##0</c:formatCode>
                <c:ptCount val="6"/>
                <c:pt idx="0">
                  <c:v>0</c:v>
                </c:pt>
                <c:pt idx="1">
                  <c:v>0</c:v>
                </c:pt>
                <c:pt idx="2">
                  <c:v>0</c:v>
                </c:pt>
                <c:pt idx="3">
                  <c:v>0</c:v>
                </c:pt>
                <c:pt idx="4">
                  <c:v>0</c:v>
                </c:pt>
                <c:pt idx="5">
                  <c:v>0</c:v>
                </c:pt>
              </c:numCache>
            </c:numRef>
          </c:val>
        </c:ser>
        <c:ser>
          <c:idx val="1"/>
          <c:order val="1"/>
          <c:tx>
            <c:strRef>
              <c:f>'Sources schémas'!$B$88</c:f>
              <c:strCache>
                <c:ptCount val="1"/>
                <c:pt idx="0">
                  <c:v>Frais de structure</c:v>
                </c:pt>
              </c:strCache>
            </c:strRef>
          </c:tx>
          <c:spPr>
            <a:solidFill>
              <a:srgbClr val="FFC000"/>
            </a:solidFill>
            <a:ln w="25400">
              <a:noFill/>
            </a:ln>
          </c:spPr>
          <c:cat>
            <c:numRef>
              <c:f>'Sources schémas'!$C$86:$H$86</c:f>
              <c:numCache>
                <c:formatCode>General</c:formatCode>
                <c:ptCount val="6"/>
                <c:pt idx="0">
                  <c:v>2014</c:v>
                </c:pt>
                <c:pt idx="1">
                  <c:v>2015</c:v>
                </c:pt>
                <c:pt idx="2">
                  <c:v>2016</c:v>
                </c:pt>
                <c:pt idx="3">
                  <c:v>2017</c:v>
                </c:pt>
                <c:pt idx="4">
                  <c:v>2018</c:v>
                </c:pt>
                <c:pt idx="5">
                  <c:v>2019</c:v>
                </c:pt>
              </c:numCache>
            </c:numRef>
          </c:cat>
          <c:val>
            <c:numRef>
              <c:f>'Sources schémas'!$C$88:$H$88</c:f>
              <c:numCache>
                <c:formatCode>#,##0</c:formatCode>
                <c:ptCount val="6"/>
                <c:pt idx="0">
                  <c:v>0</c:v>
                </c:pt>
                <c:pt idx="1">
                  <c:v>0</c:v>
                </c:pt>
                <c:pt idx="2">
                  <c:v>0</c:v>
                </c:pt>
                <c:pt idx="3">
                  <c:v>0</c:v>
                </c:pt>
                <c:pt idx="4">
                  <c:v>0</c:v>
                </c:pt>
                <c:pt idx="5">
                  <c:v>0</c:v>
                </c:pt>
              </c:numCache>
            </c:numRef>
          </c:val>
        </c:ser>
        <c:ser>
          <c:idx val="2"/>
          <c:order val="2"/>
          <c:tx>
            <c:strRef>
              <c:f>'Sources schémas'!$B$89</c:f>
              <c:strCache>
                <c:ptCount val="1"/>
                <c:pt idx="0">
                  <c:v>Charges variables</c:v>
                </c:pt>
              </c:strCache>
            </c:strRef>
          </c:tx>
          <c:spPr>
            <a:solidFill>
              <a:srgbClr val="FF5050"/>
            </a:solidFill>
            <a:ln w="25400">
              <a:noFill/>
            </a:ln>
          </c:spPr>
          <c:cat>
            <c:numRef>
              <c:f>'Sources schémas'!$C$86:$H$86</c:f>
              <c:numCache>
                <c:formatCode>General</c:formatCode>
                <c:ptCount val="6"/>
                <c:pt idx="0">
                  <c:v>2014</c:v>
                </c:pt>
                <c:pt idx="1">
                  <c:v>2015</c:v>
                </c:pt>
                <c:pt idx="2">
                  <c:v>2016</c:v>
                </c:pt>
                <c:pt idx="3">
                  <c:v>2017</c:v>
                </c:pt>
                <c:pt idx="4">
                  <c:v>2018</c:v>
                </c:pt>
                <c:pt idx="5">
                  <c:v>2019</c:v>
                </c:pt>
              </c:numCache>
            </c:numRef>
          </c:cat>
          <c:val>
            <c:numRef>
              <c:f>'Sources schémas'!$C$89:$H$89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19246848"/>
        <c:axId val="119248384"/>
      </c:areaChart>
      <c:catAx>
        <c:axId val="119246848"/>
        <c:scaling>
          <c:orientation val="minMax"/>
        </c:scaling>
        <c:delete val="0"/>
        <c:axPos val="b"/>
        <c:numFmt formatCode="General" sourceLinked="1"/>
        <c:majorTickMark val="none"/>
        <c:minorTickMark val="none"/>
        <c:tickLblPos val="nextTo"/>
        <c:txPr>
          <a:bodyPr/>
          <a:lstStyle/>
          <a:p>
            <a:pPr>
              <a:defRPr sz="1050"/>
            </a:pPr>
            <a:endParaRPr lang="fr-FR"/>
          </a:p>
        </c:txPr>
        <c:crossAx val="119248384"/>
        <c:crosses val="autoZero"/>
        <c:auto val="1"/>
        <c:lblAlgn val="ctr"/>
        <c:lblOffset val="100"/>
        <c:noMultiLvlLbl val="0"/>
      </c:catAx>
      <c:valAx>
        <c:axId val="119248384"/>
        <c:scaling>
          <c:orientation val="minMax"/>
        </c:scaling>
        <c:delete val="0"/>
        <c:axPos val="l"/>
        <c:majorGridlines/>
        <c:numFmt formatCode="#,##0" sourceLinked="1"/>
        <c:majorTickMark val="none"/>
        <c:minorTickMark val="none"/>
        <c:tickLblPos val="nextTo"/>
        <c:txPr>
          <a:bodyPr/>
          <a:lstStyle/>
          <a:p>
            <a:pPr>
              <a:defRPr sz="1050"/>
            </a:pPr>
            <a:endParaRPr lang="fr-FR"/>
          </a:p>
        </c:txPr>
        <c:crossAx val="119246848"/>
        <c:crosses val="autoZero"/>
        <c:crossBetween val="midCat"/>
      </c:valAx>
      <c:spPr>
        <a:solidFill>
          <a:schemeClr val="bg2"/>
        </a:solidFill>
      </c:spPr>
    </c:plotArea>
    <c:legend>
      <c:legendPos val="b"/>
      <c:layout>
        <c:manualLayout>
          <c:xMode val="edge"/>
          <c:yMode val="edge"/>
          <c:x val="1.4876247528714439E-2"/>
          <c:y val="9.9283831185465646E-2"/>
          <c:w val="0.9611725878470192"/>
          <c:h val="0.14052077303066182"/>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bg1"/>
                </a:solidFill>
              </a:defRPr>
            </a:pPr>
            <a:r>
              <a:rPr lang="fr-FR" sz="1200">
                <a:solidFill>
                  <a:schemeClr val="bg1"/>
                </a:solidFill>
              </a:rPr>
              <a:t>Charges  SAD Famille - Prestataire</a:t>
            </a:r>
          </a:p>
        </c:rich>
      </c:tx>
      <c:layout>
        <c:manualLayout>
          <c:xMode val="edge"/>
          <c:yMode val="edge"/>
          <c:x val="1.8236152912222161E-2"/>
          <c:y val="2.3741058563178499E-2"/>
        </c:manualLayout>
      </c:layout>
      <c:overlay val="0"/>
      <c:spPr>
        <a:solidFill>
          <a:srgbClr val="878543"/>
        </a:solidFill>
      </c:spPr>
    </c:title>
    <c:autoTitleDeleted val="0"/>
    <c:plotArea>
      <c:layout>
        <c:manualLayout>
          <c:layoutTarget val="inner"/>
          <c:xMode val="edge"/>
          <c:yMode val="edge"/>
          <c:x val="0.14037570303712041"/>
          <c:y val="0.28024305667494115"/>
          <c:w val="0.80679890013748357"/>
          <c:h val="0.64436162110319595"/>
        </c:manualLayout>
      </c:layout>
      <c:areaChart>
        <c:grouping val="stacked"/>
        <c:varyColors val="0"/>
        <c:ser>
          <c:idx val="1"/>
          <c:order val="0"/>
          <c:tx>
            <c:strRef>
              <c:f>'Sources schémas'!$B$101</c:f>
              <c:strCache>
                <c:ptCount val="1"/>
                <c:pt idx="0">
                  <c:v>Masse salariale</c:v>
                </c:pt>
              </c:strCache>
            </c:strRef>
          </c:tx>
          <c:spPr>
            <a:solidFill>
              <a:schemeClr val="accent2">
                <a:lumMod val="50000"/>
              </a:schemeClr>
            </a:solidFill>
            <a:ln w="25400">
              <a:noFill/>
            </a:ln>
          </c:spPr>
          <c:cat>
            <c:numRef>
              <c:f>'Sources schémas'!$C$100:$H$100</c:f>
              <c:numCache>
                <c:formatCode>General</c:formatCode>
                <c:ptCount val="6"/>
                <c:pt idx="0">
                  <c:v>2014</c:v>
                </c:pt>
                <c:pt idx="1">
                  <c:v>2015</c:v>
                </c:pt>
                <c:pt idx="2">
                  <c:v>2016</c:v>
                </c:pt>
                <c:pt idx="3">
                  <c:v>2017</c:v>
                </c:pt>
                <c:pt idx="4">
                  <c:v>2018</c:v>
                </c:pt>
                <c:pt idx="5">
                  <c:v>2019</c:v>
                </c:pt>
              </c:numCache>
            </c:numRef>
          </c:cat>
          <c:val>
            <c:numRef>
              <c:f>'Sources schémas'!$C$101:$H$101</c:f>
              <c:numCache>
                <c:formatCode>#,##0</c:formatCode>
                <c:ptCount val="6"/>
                <c:pt idx="0">
                  <c:v>0</c:v>
                </c:pt>
                <c:pt idx="1">
                  <c:v>0</c:v>
                </c:pt>
                <c:pt idx="2">
                  <c:v>0</c:v>
                </c:pt>
                <c:pt idx="3">
                  <c:v>0</c:v>
                </c:pt>
                <c:pt idx="4">
                  <c:v>0</c:v>
                </c:pt>
                <c:pt idx="5">
                  <c:v>0</c:v>
                </c:pt>
              </c:numCache>
            </c:numRef>
          </c:val>
        </c:ser>
        <c:ser>
          <c:idx val="2"/>
          <c:order val="1"/>
          <c:tx>
            <c:strRef>
              <c:f>'Sources schémas'!$B$102</c:f>
              <c:strCache>
                <c:ptCount val="1"/>
                <c:pt idx="0">
                  <c:v>Frais de structure</c:v>
                </c:pt>
              </c:strCache>
            </c:strRef>
          </c:tx>
          <c:spPr>
            <a:solidFill>
              <a:srgbClr val="FFC000"/>
            </a:solidFill>
            <a:ln w="25400">
              <a:noFill/>
            </a:ln>
          </c:spPr>
          <c:cat>
            <c:numRef>
              <c:f>'Sources schémas'!$C$100:$H$100</c:f>
              <c:numCache>
                <c:formatCode>General</c:formatCode>
                <c:ptCount val="6"/>
                <c:pt idx="0">
                  <c:v>2014</c:v>
                </c:pt>
                <c:pt idx="1">
                  <c:v>2015</c:v>
                </c:pt>
                <c:pt idx="2">
                  <c:v>2016</c:v>
                </c:pt>
                <c:pt idx="3">
                  <c:v>2017</c:v>
                </c:pt>
                <c:pt idx="4">
                  <c:v>2018</c:v>
                </c:pt>
                <c:pt idx="5">
                  <c:v>2019</c:v>
                </c:pt>
              </c:numCache>
            </c:numRef>
          </c:cat>
          <c:val>
            <c:numRef>
              <c:f>'Sources schémas'!$C$102:$H$102</c:f>
              <c:numCache>
                <c:formatCode>#,##0</c:formatCode>
                <c:ptCount val="6"/>
                <c:pt idx="0">
                  <c:v>0</c:v>
                </c:pt>
                <c:pt idx="1">
                  <c:v>0</c:v>
                </c:pt>
                <c:pt idx="2">
                  <c:v>0</c:v>
                </c:pt>
                <c:pt idx="3">
                  <c:v>0</c:v>
                </c:pt>
                <c:pt idx="4">
                  <c:v>0</c:v>
                </c:pt>
                <c:pt idx="5">
                  <c:v>0</c:v>
                </c:pt>
              </c:numCache>
            </c:numRef>
          </c:val>
        </c:ser>
        <c:ser>
          <c:idx val="3"/>
          <c:order val="2"/>
          <c:tx>
            <c:strRef>
              <c:f>'Sources schémas'!$B$103</c:f>
              <c:strCache>
                <c:ptCount val="1"/>
                <c:pt idx="0">
                  <c:v>Charges variables</c:v>
                </c:pt>
              </c:strCache>
            </c:strRef>
          </c:tx>
          <c:spPr>
            <a:solidFill>
              <a:srgbClr val="FF5050"/>
            </a:solidFill>
            <a:ln w="25400">
              <a:noFill/>
            </a:ln>
          </c:spPr>
          <c:cat>
            <c:numRef>
              <c:f>'Sources schémas'!$C$100:$H$100</c:f>
              <c:numCache>
                <c:formatCode>General</c:formatCode>
                <c:ptCount val="6"/>
                <c:pt idx="0">
                  <c:v>2014</c:v>
                </c:pt>
                <c:pt idx="1">
                  <c:v>2015</c:v>
                </c:pt>
                <c:pt idx="2">
                  <c:v>2016</c:v>
                </c:pt>
                <c:pt idx="3">
                  <c:v>2017</c:v>
                </c:pt>
                <c:pt idx="4">
                  <c:v>2018</c:v>
                </c:pt>
                <c:pt idx="5">
                  <c:v>2019</c:v>
                </c:pt>
              </c:numCache>
            </c:numRef>
          </c:cat>
          <c:val>
            <c:numRef>
              <c:f>'Sources schémas'!$C$103:$H$103</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19262208"/>
        <c:axId val="121262848"/>
      </c:areaChart>
      <c:catAx>
        <c:axId val="119262208"/>
        <c:scaling>
          <c:orientation val="minMax"/>
        </c:scaling>
        <c:delete val="0"/>
        <c:axPos val="b"/>
        <c:numFmt formatCode="General" sourceLinked="1"/>
        <c:majorTickMark val="none"/>
        <c:minorTickMark val="none"/>
        <c:tickLblPos val="nextTo"/>
        <c:txPr>
          <a:bodyPr/>
          <a:lstStyle/>
          <a:p>
            <a:pPr>
              <a:defRPr sz="1050"/>
            </a:pPr>
            <a:endParaRPr lang="fr-FR"/>
          </a:p>
        </c:txPr>
        <c:crossAx val="121262848"/>
        <c:crosses val="autoZero"/>
        <c:auto val="1"/>
        <c:lblAlgn val="ctr"/>
        <c:lblOffset val="100"/>
        <c:noMultiLvlLbl val="0"/>
      </c:catAx>
      <c:valAx>
        <c:axId val="121262848"/>
        <c:scaling>
          <c:orientation val="minMax"/>
        </c:scaling>
        <c:delete val="0"/>
        <c:axPos val="l"/>
        <c:majorGridlines/>
        <c:numFmt formatCode="#,##0" sourceLinked="1"/>
        <c:majorTickMark val="none"/>
        <c:minorTickMark val="none"/>
        <c:tickLblPos val="nextTo"/>
        <c:txPr>
          <a:bodyPr/>
          <a:lstStyle/>
          <a:p>
            <a:pPr>
              <a:defRPr sz="1050"/>
            </a:pPr>
            <a:endParaRPr lang="fr-FR"/>
          </a:p>
        </c:txPr>
        <c:crossAx val="119262208"/>
        <c:crosses val="autoZero"/>
        <c:crossBetween val="midCat"/>
      </c:valAx>
      <c:spPr>
        <a:solidFill>
          <a:schemeClr val="bg2"/>
        </a:solidFill>
      </c:spPr>
    </c:plotArea>
    <c:legend>
      <c:legendPos val="b"/>
      <c:layout>
        <c:manualLayout>
          <c:xMode val="edge"/>
          <c:yMode val="edge"/>
          <c:x val="1.7780874726128108E-2"/>
          <c:y val="0.10249388479641509"/>
          <c:w val="0.95839499166003062"/>
          <c:h val="0.11806263590511699"/>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bg1"/>
                </a:solidFill>
              </a:defRPr>
            </a:pPr>
            <a:r>
              <a:rPr lang="fr-FR" sz="1200">
                <a:solidFill>
                  <a:schemeClr val="bg1"/>
                </a:solidFill>
              </a:rPr>
              <a:t>Charges  SAD - Mandataire</a:t>
            </a:r>
          </a:p>
        </c:rich>
      </c:tx>
      <c:layout>
        <c:manualLayout>
          <c:xMode val="edge"/>
          <c:yMode val="edge"/>
          <c:x val="2.1746663049147838E-2"/>
          <c:y val="2.6945347842651495E-2"/>
        </c:manualLayout>
      </c:layout>
      <c:overlay val="0"/>
      <c:spPr>
        <a:solidFill>
          <a:srgbClr val="92D050"/>
        </a:solidFill>
      </c:spPr>
    </c:title>
    <c:autoTitleDeleted val="0"/>
    <c:plotArea>
      <c:layout>
        <c:manualLayout>
          <c:layoutTarget val="inner"/>
          <c:xMode val="edge"/>
          <c:yMode val="edge"/>
          <c:x val="0.14037570303712041"/>
          <c:y val="0.27380608769721465"/>
          <c:w val="0.80679890013748357"/>
          <c:h val="0.65079862805930189"/>
        </c:manualLayout>
      </c:layout>
      <c:areaChart>
        <c:grouping val="stacked"/>
        <c:varyColors val="0"/>
        <c:ser>
          <c:idx val="2"/>
          <c:order val="0"/>
          <c:tx>
            <c:strRef>
              <c:f>'Sources schémas'!$B$115</c:f>
              <c:strCache>
                <c:ptCount val="1"/>
                <c:pt idx="0">
                  <c:v>Masse salariale</c:v>
                </c:pt>
              </c:strCache>
            </c:strRef>
          </c:tx>
          <c:spPr>
            <a:solidFill>
              <a:schemeClr val="accent2">
                <a:lumMod val="50000"/>
              </a:schemeClr>
            </a:solidFill>
            <a:ln w="25400">
              <a:noFill/>
            </a:ln>
          </c:spPr>
          <c:cat>
            <c:numRef>
              <c:f>'Sources schémas'!$C$114:$H$114</c:f>
              <c:numCache>
                <c:formatCode>General</c:formatCode>
                <c:ptCount val="6"/>
                <c:pt idx="0">
                  <c:v>2014</c:v>
                </c:pt>
                <c:pt idx="1">
                  <c:v>2015</c:v>
                </c:pt>
                <c:pt idx="2">
                  <c:v>2016</c:v>
                </c:pt>
                <c:pt idx="3">
                  <c:v>2017</c:v>
                </c:pt>
                <c:pt idx="4">
                  <c:v>2018</c:v>
                </c:pt>
                <c:pt idx="5">
                  <c:v>2019</c:v>
                </c:pt>
              </c:numCache>
            </c:numRef>
          </c:cat>
          <c:val>
            <c:numRef>
              <c:f>'Sources schémas'!$C$115:$H$115</c:f>
              <c:numCache>
                <c:formatCode>#,##0</c:formatCode>
                <c:ptCount val="6"/>
                <c:pt idx="0">
                  <c:v>0</c:v>
                </c:pt>
                <c:pt idx="1">
                  <c:v>0</c:v>
                </c:pt>
                <c:pt idx="2">
                  <c:v>0</c:v>
                </c:pt>
                <c:pt idx="3">
                  <c:v>0</c:v>
                </c:pt>
                <c:pt idx="4">
                  <c:v>0</c:v>
                </c:pt>
                <c:pt idx="5">
                  <c:v>0</c:v>
                </c:pt>
              </c:numCache>
            </c:numRef>
          </c:val>
        </c:ser>
        <c:ser>
          <c:idx val="3"/>
          <c:order val="1"/>
          <c:tx>
            <c:strRef>
              <c:f>'Sources schémas'!$B$116</c:f>
              <c:strCache>
                <c:ptCount val="1"/>
                <c:pt idx="0">
                  <c:v>Frais de structure</c:v>
                </c:pt>
              </c:strCache>
            </c:strRef>
          </c:tx>
          <c:spPr>
            <a:solidFill>
              <a:srgbClr val="FFC000"/>
            </a:solidFill>
            <a:ln w="25400">
              <a:noFill/>
            </a:ln>
          </c:spPr>
          <c:cat>
            <c:numRef>
              <c:f>'Sources schémas'!$C$114:$H$114</c:f>
              <c:numCache>
                <c:formatCode>General</c:formatCode>
                <c:ptCount val="6"/>
                <c:pt idx="0">
                  <c:v>2014</c:v>
                </c:pt>
                <c:pt idx="1">
                  <c:v>2015</c:v>
                </c:pt>
                <c:pt idx="2">
                  <c:v>2016</c:v>
                </c:pt>
                <c:pt idx="3">
                  <c:v>2017</c:v>
                </c:pt>
                <c:pt idx="4">
                  <c:v>2018</c:v>
                </c:pt>
                <c:pt idx="5">
                  <c:v>2019</c:v>
                </c:pt>
              </c:numCache>
            </c:numRef>
          </c:cat>
          <c:val>
            <c:numRef>
              <c:f>'Sources schémas'!$C$116:$H$116</c:f>
              <c:numCache>
                <c:formatCode>#,##0</c:formatCode>
                <c:ptCount val="6"/>
                <c:pt idx="0">
                  <c:v>0</c:v>
                </c:pt>
                <c:pt idx="1">
                  <c:v>0</c:v>
                </c:pt>
                <c:pt idx="2">
                  <c:v>0</c:v>
                </c:pt>
                <c:pt idx="3">
                  <c:v>0</c:v>
                </c:pt>
                <c:pt idx="4">
                  <c:v>0</c:v>
                </c:pt>
                <c:pt idx="5">
                  <c:v>0</c:v>
                </c:pt>
              </c:numCache>
            </c:numRef>
          </c:val>
        </c:ser>
        <c:ser>
          <c:idx val="4"/>
          <c:order val="2"/>
          <c:tx>
            <c:strRef>
              <c:f>'Sources schémas'!$B$117</c:f>
              <c:strCache>
                <c:ptCount val="1"/>
                <c:pt idx="0">
                  <c:v>Charges variables</c:v>
                </c:pt>
              </c:strCache>
            </c:strRef>
          </c:tx>
          <c:spPr>
            <a:solidFill>
              <a:srgbClr val="FF5050"/>
            </a:solidFill>
            <a:ln w="25400">
              <a:noFill/>
            </a:ln>
          </c:spPr>
          <c:cat>
            <c:numRef>
              <c:f>'Sources schémas'!$C$114:$H$114</c:f>
              <c:numCache>
                <c:formatCode>General</c:formatCode>
                <c:ptCount val="6"/>
                <c:pt idx="0">
                  <c:v>2014</c:v>
                </c:pt>
                <c:pt idx="1">
                  <c:v>2015</c:v>
                </c:pt>
                <c:pt idx="2">
                  <c:v>2016</c:v>
                </c:pt>
                <c:pt idx="3">
                  <c:v>2017</c:v>
                </c:pt>
                <c:pt idx="4">
                  <c:v>2018</c:v>
                </c:pt>
                <c:pt idx="5">
                  <c:v>2019</c:v>
                </c:pt>
              </c:numCache>
            </c:numRef>
          </c:cat>
          <c:val>
            <c:numRef>
              <c:f>'Sources schémas'!$C$117:$H$117</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1284864"/>
        <c:axId val="121294848"/>
      </c:areaChart>
      <c:catAx>
        <c:axId val="121284864"/>
        <c:scaling>
          <c:orientation val="minMax"/>
        </c:scaling>
        <c:delete val="0"/>
        <c:axPos val="b"/>
        <c:numFmt formatCode="General" sourceLinked="1"/>
        <c:majorTickMark val="none"/>
        <c:minorTickMark val="none"/>
        <c:tickLblPos val="nextTo"/>
        <c:txPr>
          <a:bodyPr/>
          <a:lstStyle/>
          <a:p>
            <a:pPr>
              <a:defRPr sz="1050"/>
            </a:pPr>
            <a:endParaRPr lang="fr-FR"/>
          </a:p>
        </c:txPr>
        <c:crossAx val="121294848"/>
        <c:crosses val="autoZero"/>
        <c:auto val="1"/>
        <c:lblAlgn val="ctr"/>
        <c:lblOffset val="100"/>
        <c:noMultiLvlLbl val="0"/>
      </c:catAx>
      <c:valAx>
        <c:axId val="121294848"/>
        <c:scaling>
          <c:orientation val="minMax"/>
        </c:scaling>
        <c:delete val="0"/>
        <c:axPos val="l"/>
        <c:majorGridlines/>
        <c:numFmt formatCode="#,##0" sourceLinked="1"/>
        <c:majorTickMark val="none"/>
        <c:minorTickMark val="none"/>
        <c:tickLblPos val="nextTo"/>
        <c:txPr>
          <a:bodyPr/>
          <a:lstStyle/>
          <a:p>
            <a:pPr>
              <a:defRPr sz="1050"/>
            </a:pPr>
            <a:endParaRPr lang="fr-FR"/>
          </a:p>
        </c:txPr>
        <c:crossAx val="121284864"/>
        <c:crosses val="autoZero"/>
        <c:crossBetween val="midCat"/>
      </c:valAx>
      <c:spPr>
        <a:solidFill>
          <a:schemeClr val="bg2"/>
        </a:solidFill>
      </c:spPr>
    </c:plotArea>
    <c:legend>
      <c:legendPos val="b"/>
      <c:layout>
        <c:manualLayout>
          <c:xMode val="edge"/>
          <c:yMode val="edge"/>
          <c:x val="2.4477860451111208E-2"/>
          <c:y val="0.10558619032579308"/>
          <c:w val="0.95312357616313959"/>
          <c:h val="0.11806263590511699"/>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39153163524209"/>
          <c:y val="0.27636729002624738"/>
          <c:w val="0.81320376751019563"/>
          <c:h val="0.62815534776902904"/>
        </c:manualLayout>
      </c:layout>
      <c:lineChart>
        <c:grouping val="standard"/>
        <c:varyColors val="0"/>
        <c:ser>
          <c:idx val="0"/>
          <c:order val="0"/>
          <c:tx>
            <c:strRef>
              <c:f>'5.Analyse des effectifs'!$C$26</c:f>
              <c:strCache>
                <c:ptCount val="1"/>
                <c:pt idx="0">
                  <c:v>Heures rémunérées intervenants à domicile</c:v>
                </c:pt>
              </c:strCache>
            </c:strRef>
          </c:tx>
          <c:spPr>
            <a:ln w="34925">
              <a:solidFill>
                <a:srgbClr val="0070C0"/>
              </a:solidFill>
            </a:ln>
          </c:spPr>
          <c:marker>
            <c:spPr>
              <a:solidFill>
                <a:srgbClr val="0070C0"/>
              </a:solidFill>
              <a:ln>
                <a:solidFill>
                  <a:srgbClr val="0070C0"/>
                </a:solidFill>
              </a:ln>
            </c:spPr>
          </c:marker>
          <c:dLbls>
            <c:txPr>
              <a:bodyPr/>
              <a:lstStyle/>
              <a:p>
                <a:pPr>
                  <a:defRPr b="1"/>
                </a:pPr>
                <a:endParaRPr lang="fr-FR"/>
              </a:p>
            </c:txPr>
            <c:dLblPos val="t"/>
            <c:showLegendKey val="0"/>
            <c:showVal val="1"/>
            <c:showCatName val="0"/>
            <c:showSerName val="0"/>
            <c:showPercent val="0"/>
            <c:showBubbleSize val="0"/>
            <c:showLeaderLines val="0"/>
          </c:dLbls>
          <c:cat>
            <c:numRef>
              <c:f>'5.Analyse des effectifs'!$B$27:$B$32</c:f>
              <c:numCache>
                <c:formatCode>General</c:formatCode>
                <c:ptCount val="6"/>
                <c:pt idx="0">
                  <c:v>2014</c:v>
                </c:pt>
                <c:pt idx="1">
                  <c:v>2015</c:v>
                </c:pt>
                <c:pt idx="2">
                  <c:v>2016</c:v>
                </c:pt>
                <c:pt idx="3">
                  <c:v>2017</c:v>
                </c:pt>
                <c:pt idx="4">
                  <c:v>2018</c:v>
                </c:pt>
                <c:pt idx="5">
                  <c:v>2019</c:v>
                </c:pt>
              </c:numCache>
            </c:numRef>
          </c:cat>
          <c:val>
            <c:numRef>
              <c:f>'5.Analyse des effectifs'!$C$27:$C$32</c:f>
              <c:numCache>
                <c:formatCode>#,##0</c:formatCode>
                <c:ptCount val="6"/>
                <c:pt idx="0">
                  <c:v>0</c:v>
                </c:pt>
                <c:pt idx="1">
                  <c:v>0</c:v>
                </c:pt>
                <c:pt idx="2">
                  <c:v>0</c:v>
                </c:pt>
                <c:pt idx="3">
                  <c:v>0</c:v>
                </c:pt>
                <c:pt idx="4">
                  <c:v>0</c:v>
                </c:pt>
                <c:pt idx="5">
                  <c:v>0</c:v>
                </c:pt>
              </c:numCache>
            </c:numRef>
          </c:val>
          <c:smooth val="0"/>
        </c:ser>
        <c:ser>
          <c:idx val="1"/>
          <c:order val="1"/>
          <c:tx>
            <c:strRef>
              <c:f>'5.Analyse des effectifs'!$D$26</c:f>
              <c:strCache>
                <c:ptCount val="1"/>
                <c:pt idx="0">
                  <c:v>Heures rémunérée encadrants directs</c:v>
                </c:pt>
              </c:strCache>
            </c:strRef>
          </c:tx>
          <c:spPr>
            <a:ln w="34925">
              <a:solidFill>
                <a:schemeClr val="accent5">
                  <a:lumMod val="60000"/>
                  <a:lumOff val="40000"/>
                </a:schemeClr>
              </a:solidFill>
            </a:ln>
          </c:spPr>
          <c:marker>
            <c:spPr>
              <a:solidFill>
                <a:schemeClr val="accent5">
                  <a:lumMod val="60000"/>
                  <a:lumOff val="40000"/>
                </a:schemeClr>
              </a:solidFill>
              <a:ln>
                <a:solidFill>
                  <a:schemeClr val="accent5">
                    <a:lumMod val="60000"/>
                    <a:lumOff val="40000"/>
                  </a:schemeClr>
                </a:solidFill>
              </a:ln>
            </c:spPr>
          </c:marker>
          <c:dLbls>
            <c:txPr>
              <a:bodyPr/>
              <a:lstStyle/>
              <a:p>
                <a:pPr>
                  <a:defRPr b="1"/>
                </a:pPr>
                <a:endParaRPr lang="fr-FR"/>
              </a:p>
            </c:txPr>
            <c:dLblPos val="t"/>
            <c:showLegendKey val="0"/>
            <c:showVal val="1"/>
            <c:showCatName val="0"/>
            <c:showSerName val="0"/>
            <c:showPercent val="0"/>
            <c:showBubbleSize val="0"/>
            <c:showLeaderLines val="0"/>
          </c:dLbls>
          <c:cat>
            <c:numRef>
              <c:f>'5.Analyse des effectifs'!$B$27:$B$32</c:f>
              <c:numCache>
                <c:formatCode>General</c:formatCode>
                <c:ptCount val="6"/>
                <c:pt idx="0">
                  <c:v>2014</c:v>
                </c:pt>
                <c:pt idx="1">
                  <c:v>2015</c:v>
                </c:pt>
                <c:pt idx="2">
                  <c:v>2016</c:v>
                </c:pt>
                <c:pt idx="3">
                  <c:v>2017</c:v>
                </c:pt>
                <c:pt idx="4">
                  <c:v>2018</c:v>
                </c:pt>
                <c:pt idx="5">
                  <c:v>2019</c:v>
                </c:pt>
              </c:numCache>
            </c:numRef>
          </c:cat>
          <c:val>
            <c:numRef>
              <c:f>'5.Analyse des effectifs'!$D$27:$D$32</c:f>
              <c:numCache>
                <c:formatCode>#,##0</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97628160"/>
        <c:axId val="97629696"/>
      </c:lineChart>
      <c:catAx>
        <c:axId val="97628160"/>
        <c:scaling>
          <c:orientation val="minMax"/>
        </c:scaling>
        <c:delete val="0"/>
        <c:axPos val="b"/>
        <c:numFmt formatCode="General" sourceLinked="1"/>
        <c:majorTickMark val="out"/>
        <c:minorTickMark val="none"/>
        <c:tickLblPos val="nextTo"/>
        <c:txPr>
          <a:bodyPr/>
          <a:lstStyle/>
          <a:p>
            <a:pPr>
              <a:defRPr sz="1100" b="1"/>
            </a:pPr>
            <a:endParaRPr lang="fr-FR"/>
          </a:p>
        </c:txPr>
        <c:crossAx val="97629696"/>
        <c:crosses val="autoZero"/>
        <c:auto val="1"/>
        <c:lblAlgn val="ctr"/>
        <c:lblOffset val="100"/>
        <c:noMultiLvlLbl val="0"/>
      </c:catAx>
      <c:valAx>
        <c:axId val="97629696"/>
        <c:scaling>
          <c:orientation val="minMax"/>
        </c:scaling>
        <c:delete val="0"/>
        <c:axPos val="l"/>
        <c:majorGridlines/>
        <c:numFmt formatCode="#,##0" sourceLinked="1"/>
        <c:majorTickMark val="out"/>
        <c:minorTickMark val="none"/>
        <c:tickLblPos val="nextTo"/>
        <c:crossAx val="97628160"/>
        <c:crosses val="autoZero"/>
        <c:crossBetween val="between"/>
      </c:valAx>
    </c:plotArea>
    <c:legend>
      <c:legendPos val="r"/>
      <c:layout>
        <c:manualLayout>
          <c:xMode val="edge"/>
          <c:yMode val="edge"/>
          <c:x val="0.10156976623493302"/>
          <c:y val="4.2506091697215635E-2"/>
          <c:w val="0.84224439783655602"/>
          <c:h val="0.19472607246408238"/>
        </c:manualLayout>
      </c:layout>
      <c:overlay val="0"/>
      <c:txPr>
        <a:bodyPr/>
        <a:lstStyle/>
        <a:p>
          <a:pPr>
            <a:defRPr sz="1200" b="1"/>
          </a:pPr>
          <a:endParaRPr lang="fr-FR"/>
        </a:p>
      </c:txPr>
    </c:legend>
    <c:plotVisOnly val="1"/>
    <c:dispBlanksAs val="zero"/>
    <c:showDLblsOverMax val="0"/>
  </c:chart>
  <c:spPr>
    <a:solidFill>
      <a:schemeClr val="bg2"/>
    </a:solidFill>
  </c:spPr>
  <c:printSettings>
    <c:headerFooter/>
    <c:pageMargins b="0.750000000000003" l="0.70000000000000162" r="0.70000000000000162" t="0.750000000000003"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ysClr val="windowText" lastClr="000000"/>
                </a:solidFill>
              </a:defRPr>
            </a:pPr>
            <a:r>
              <a:rPr lang="fr-FR" sz="1200">
                <a:solidFill>
                  <a:sysClr val="windowText" lastClr="000000"/>
                </a:solidFill>
              </a:rPr>
              <a:t>Charges  SAP - Prestations confort</a:t>
            </a:r>
          </a:p>
        </c:rich>
      </c:tx>
      <c:layout>
        <c:manualLayout>
          <c:xMode val="edge"/>
          <c:yMode val="edge"/>
          <c:x val="1.5095144124075286E-2"/>
          <c:y val="3.0128456949777567E-2"/>
        </c:manualLayout>
      </c:layout>
      <c:overlay val="0"/>
      <c:spPr>
        <a:solidFill>
          <a:srgbClr val="FFFF00"/>
        </a:solidFill>
      </c:spPr>
    </c:title>
    <c:autoTitleDeleted val="0"/>
    <c:plotArea>
      <c:layout>
        <c:manualLayout>
          <c:layoutTarget val="inner"/>
          <c:xMode val="edge"/>
          <c:yMode val="edge"/>
          <c:x val="0.14037570303712041"/>
          <c:y val="0.28982765603339883"/>
          <c:w val="0.80679890013748357"/>
          <c:h val="0.63477702174473705"/>
        </c:manualLayout>
      </c:layout>
      <c:areaChart>
        <c:grouping val="stacked"/>
        <c:varyColors val="0"/>
        <c:ser>
          <c:idx val="3"/>
          <c:order val="0"/>
          <c:tx>
            <c:strRef>
              <c:f>'Sources schémas'!$B$129</c:f>
              <c:strCache>
                <c:ptCount val="1"/>
                <c:pt idx="0">
                  <c:v>Masse salariale</c:v>
                </c:pt>
              </c:strCache>
            </c:strRef>
          </c:tx>
          <c:spPr>
            <a:solidFill>
              <a:schemeClr val="accent2">
                <a:lumMod val="50000"/>
              </a:schemeClr>
            </a:solidFill>
            <a:ln w="25400">
              <a:noFill/>
            </a:ln>
          </c:spPr>
          <c:cat>
            <c:numRef>
              <c:f>'Sources schémas'!$C$128:$H$128</c:f>
              <c:numCache>
                <c:formatCode>General</c:formatCode>
                <c:ptCount val="6"/>
                <c:pt idx="0">
                  <c:v>2014</c:v>
                </c:pt>
                <c:pt idx="1">
                  <c:v>2015</c:v>
                </c:pt>
                <c:pt idx="2">
                  <c:v>2016</c:v>
                </c:pt>
                <c:pt idx="3">
                  <c:v>2017</c:v>
                </c:pt>
                <c:pt idx="4">
                  <c:v>2018</c:v>
                </c:pt>
                <c:pt idx="5">
                  <c:v>2019</c:v>
                </c:pt>
              </c:numCache>
            </c:numRef>
          </c:cat>
          <c:val>
            <c:numRef>
              <c:f>'Sources schémas'!$C$129:$H$129</c:f>
              <c:numCache>
                <c:formatCode>#,##0</c:formatCode>
                <c:ptCount val="6"/>
                <c:pt idx="0">
                  <c:v>0</c:v>
                </c:pt>
                <c:pt idx="1">
                  <c:v>0</c:v>
                </c:pt>
                <c:pt idx="2">
                  <c:v>0</c:v>
                </c:pt>
                <c:pt idx="3">
                  <c:v>0</c:v>
                </c:pt>
                <c:pt idx="4">
                  <c:v>0</c:v>
                </c:pt>
                <c:pt idx="5">
                  <c:v>0</c:v>
                </c:pt>
              </c:numCache>
            </c:numRef>
          </c:val>
        </c:ser>
        <c:ser>
          <c:idx val="4"/>
          <c:order val="1"/>
          <c:tx>
            <c:strRef>
              <c:f>'Sources schémas'!$B$130</c:f>
              <c:strCache>
                <c:ptCount val="1"/>
                <c:pt idx="0">
                  <c:v>Frais de structure</c:v>
                </c:pt>
              </c:strCache>
            </c:strRef>
          </c:tx>
          <c:spPr>
            <a:solidFill>
              <a:srgbClr val="FFC000"/>
            </a:solidFill>
            <a:ln w="25400">
              <a:noFill/>
            </a:ln>
          </c:spPr>
          <c:cat>
            <c:numRef>
              <c:f>'Sources schémas'!$C$128:$H$128</c:f>
              <c:numCache>
                <c:formatCode>General</c:formatCode>
                <c:ptCount val="6"/>
                <c:pt idx="0">
                  <c:v>2014</c:v>
                </c:pt>
                <c:pt idx="1">
                  <c:v>2015</c:v>
                </c:pt>
                <c:pt idx="2">
                  <c:v>2016</c:v>
                </c:pt>
                <c:pt idx="3">
                  <c:v>2017</c:v>
                </c:pt>
                <c:pt idx="4">
                  <c:v>2018</c:v>
                </c:pt>
                <c:pt idx="5">
                  <c:v>2019</c:v>
                </c:pt>
              </c:numCache>
            </c:numRef>
          </c:cat>
          <c:val>
            <c:numRef>
              <c:f>'Sources schémas'!$C$130:$H$130</c:f>
              <c:numCache>
                <c:formatCode>#,##0</c:formatCode>
                <c:ptCount val="6"/>
                <c:pt idx="0">
                  <c:v>0</c:v>
                </c:pt>
                <c:pt idx="1">
                  <c:v>0</c:v>
                </c:pt>
                <c:pt idx="2">
                  <c:v>0</c:v>
                </c:pt>
                <c:pt idx="3">
                  <c:v>0</c:v>
                </c:pt>
                <c:pt idx="4">
                  <c:v>0</c:v>
                </c:pt>
                <c:pt idx="5">
                  <c:v>0</c:v>
                </c:pt>
              </c:numCache>
            </c:numRef>
          </c:val>
        </c:ser>
        <c:ser>
          <c:idx val="0"/>
          <c:order val="2"/>
          <c:tx>
            <c:strRef>
              <c:f>'Sources schémas'!$B$131</c:f>
              <c:strCache>
                <c:ptCount val="1"/>
                <c:pt idx="0">
                  <c:v>Charges variables</c:v>
                </c:pt>
              </c:strCache>
            </c:strRef>
          </c:tx>
          <c:spPr>
            <a:solidFill>
              <a:srgbClr val="FF5050"/>
            </a:solidFill>
            <a:ln w="25400">
              <a:noFill/>
            </a:ln>
          </c:spPr>
          <c:cat>
            <c:numRef>
              <c:f>'Sources schémas'!$C$128:$H$128</c:f>
              <c:numCache>
                <c:formatCode>General</c:formatCode>
                <c:ptCount val="6"/>
                <c:pt idx="0">
                  <c:v>2014</c:v>
                </c:pt>
                <c:pt idx="1">
                  <c:v>2015</c:v>
                </c:pt>
                <c:pt idx="2">
                  <c:v>2016</c:v>
                </c:pt>
                <c:pt idx="3">
                  <c:v>2017</c:v>
                </c:pt>
                <c:pt idx="4">
                  <c:v>2018</c:v>
                </c:pt>
                <c:pt idx="5">
                  <c:v>2019</c:v>
                </c:pt>
              </c:numCache>
            </c:numRef>
          </c:cat>
          <c:val>
            <c:numRef>
              <c:f>'Sources schémas'!$C$131:$H$131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2305152"/>
        <c:axId val="122315136"/>
      </c:areaChart>
      <c:catAx>
        <c:axId val="122305152"/>
        <c:scaling>
          <c:orientation val="minMax"/>
        </c:scaling>
        <c:delete val="0"/>
        <c:axPos val="b"/>
        <c:numFmt formatCode="General" sourceLinked="1"/>
        <c:majorTickMark val="none"/>
        <c:minorTickMark val="none"/>
        <c:tickLblPos val="nextTo"/>
        <c:txPr>
          <a:bodyPr/>
          <a:lstStyle/>
          <a:p>
            <a:pPr>
              <a:defRPr sz="1050"/>
            </a:pPr>
            <a:endParaRPr lang="fr-FR"/>
          </a:p>
        </c:txPr>
        <c:crossAx val="122315136"/>
        <c:crosses val="autoZero"/>
        <c:auto val="1"/>
        <c:lblAlgn val="ctr"/>
        <c:lblOffset val="100"/>
        <c:noMultiLvlLbl val="0"/>
      </c:catAx>
      <c:valAx>
        <c:axId val="122315136"/>
        <c:scaling>
          <c:orientation val="minMax"/>
        </c:scaling>
        <c:delete val="0"/>
        <c:axPos val="l"/>
        <c:majorGridlines/>
        <c:numFmt formatCode="#,##0" sourceLinked="1"/>
        <c:majorTickMark val="none"/>
        <c:minorTickMark val="none"/>
        <c:tickLblPos val="nextTo"/>
        <c:txPr>
          <a:bodyPr/>
          <a:lstStyle/>
          <a:p>
            <a:pPr>
              <a:defRPr sz="1050"/>
            </a:pPr>
            <a:endParaRPr lang="fr-FR"/>
          </a:p>
        </c:txPr>
        <c:crossAx val="122305152"/>
        <c:crosses val="autoZero"/>
        <c:crossBetween val="midCat"/>
      </c:valAx>
      <c:spPr>
        <a:solidFill>
          <a:schemeClr val="bg2"/>
        </a:solidFill>
      </c:spPr>
    </c:plotArea>
    <c:legend>
      <c:legendPos val="b"/>
      <c:layout>
        <c:manualLayout>
          <c:xMode val="edge"/>
          <c:yMode val="edge"/>
          <c:x val="2.2334181197231361E-2"/>
          <c:y val="0.10562444792123218"/>
          <c:w val="0.9488768279589066"/>
          <c:h val="0.11806263590511699"/>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bg1"/>
                </a:solidFill>
              </a:defRPr>
            </a:pPr>
            <a:r>
              <a:rPr lang="fr-FR" sz="1200">
                <a:solidFill>
                  <a:schemeClr val="bg1"/>
                </a:solidFill>
              </a:rPr>
              <a:t>Charges  - Soins  à Domicile </a:t>
            </a:r>
            <a:r>
              <a:rPr lang="fr-FR" sz="1200" baseline="0">
                <a:solidFill>
                  <a:schemeClr val="bg1"/>
                </a:solidFill>
              </a:rPr>
              <a:t> - SSIAD</a:t>
            </a:r>
            <a:endParaRPr lang="fr-FR" sz="1200">
              <a:solidFill>
                <a:schemeClr val="bg1"/>
              </a:solidFill>
            </a:endParaRPr>
          </a:p>
        </c:rich>
      </c:tx>
      <c:layout>
        <c:manualLayout>
          <c:xMode val="edge"/>
          <c:yMode val="edge"/>
          <c:x val="1.6337944845369604E-2"/>
          <c:y val="2.3719864793843921E-2"/>
        </c:manualLayout>
      </c:layout>
      <c:overlay val="0"/>
      <c:spPr>
        <a:solidFill>
          <a:srgbClr val="0070C0"/>
        </a:solidFill>
      </c:spPr>
    </c:title>
    <c:autoTitleDeleted val="0"/>
    <c:plotArea>
      <c:layout>
        <c:manualLayout>
          <c:layoutTarget val="inner"/>
          <c:xMode val="edge"/>
          <c:yMode val="edge"/>
          <c:x val="0.14037570303712041"/>
          <c:y val="0.28660619972526985"/>
          <c:w val="0.80679890013748357"/>
          <c:h val="0.63799826416961058"/>
        </c:manualLayout>
      </c:layout>
      <c:areaChart>
        <c:grouping val="stacked"/>
        <c:varyColors val="0"/>
        <c:ser>
          <c:idx val="4"/>
          <c:order val="0"/>
          <c:tx>
            <c:strRef>
              <c:f>'Sources schémas'!$B$143</c:f>
              <c:strCache>
                <c:ptCount val="1"/>
                <c:pt idx="0">
                  <c:v>Masse salariale</c:v>
                </c:pt>
              </c:strCache>
            </c:strRef>
          </c:tx>
          <c:spPr>
            <a:solidFill>
              <a:schemeClr val="accent2">
                <a:lumMod val="50000"/>
              </a:schemeClr>
            </a:solidFill>
            <a:ln w="25400">
              <a:noFill/>
            </a:ln>
          </c:spPr>
          <c:cat>
            <c:numRef>
              <c:f>'Sources schémas'!$C$142:$H$142</c:f>
              <c:numCache>
                <c:formatCode>General</c:formatCode>
                <c:ptCount val="6"/>
                <c:pt idx="0">
                  <c:v>2014</c:v>
                </c:pt>
                <c:pt idx="1">
                  <c:v>2015</c:v>
                </c:pt>
                <c:pt idx="2">
                  <c:v>2016</c:v>
                </c:pt>
                <c:pt idx="3">
                  <c:v>2017</c:v>
                </c:pt>
                <c:pt idx="4">
                  <c:v>2018</c:v>
                </c:pt>
                <c:pt idx="5">
                  <c:v>2019</c:v>
                </c:pt>
              </c:numCache>
            </c:numRef>
          </c:cat>
          <c:val>
            <c:numRef>
              <c:f>'Sources schémas'!$C$143:$H$143</c:f>
              <c:numCache>
                <c:formatCode>#,##0</c:formatCode>
                <c:ptCount val="6"/>
                <c:pt idx="0">
                  <c:v>0</c:v>
                </c:pt>
                <c:pt idx="1">
                  <c:v>0</c:v>
                </c:pt>
                <c:pt idx="2">
                  <c:v>0</c:v>
                </c:pt>
                <c:pt idx="3">
                  <c:v>0</c:v>
                </c:pt>
                <c:pt idx="4">
                  <c:v>0</c:v>
                </c:pt>
                <c:pt idx="5">
                  <c:v>0</c:v>
                </c:pt>
              </c:numCache>
            </c:numRef>
          </c:val>
        </c:ser>
        <c:ser>
          <c:idx val="0"/>
          <c:order val="1"/>
          <c:tx>
            <c:strRef>
              <c:f>'Sources schémas'!$B$144</c:f>
              <c:strCache>
                <c:ptCount val="1"/>
                <c:pt idx="0">
                  <c:v>Frais de structure</c:v>
                </c:pt>
              </c:strCache>
            </c:strRef>
          </c:tx>
          <c:spPr>
            <a:solidFill>
              <a:srgbClr val="FFC000"/>
            </a:solidFill>
            <a:ln w="25400">
              <a:noFill/>
            </a:ln>
          </c:spPr>
          <c:cat>
            <c:numRef>
              <c:f>'Sources schémas'!$C$142:$H$142</c:f>
              <c:numCache>
                <c:formatCode>General</c:formatCode>
                <c:ptCount val="6"/>
                <c:pt idx="0">
                  <c:v>2014</c:v>
                </c:pt>
                <c:pt idx="1">
                  <c:v>2015</c:v>
                </c:pt>
                <c:pt idx="2">
                  <c:v>2016</c:v>
                </c:pt>
                <c:pt idx="3">
                  <c:v>2017</c:v>
                </c:pt>
                <c:pt idx="4">
                  <c:v>2018</c:v>
                </c:pt>
                <c:pt idx="5">
                  <c:v>2019</c:v>
                </c:pt>
              </c:numCache>
            </c:numRef>
          </c:cat>
          <c:val>
            <c:numRef>
              <c:f>'Sources schémas'!$C$144:$H$144</c:f>
              <c:numCache>
                <c:formatCode>#,##0</c:formatCode>
                <c:ptCount val="6"/>
                <c:pt idx="0">
                  <c:v>0</c:v>
                </c:pt>
                <c:pt idx="1">
                  <c:v>0</c:v>
                </c:pt>
                <c:pt idx="2">
                  <c:v>0</c:v>
                </c:pt>
                <c:pt idx="3">
                  <c:v>0</c:v>
                </c:pt>
                <c:pt idx="4">
                  <c:v>0</c:v>
                </c:pt>
                <c:pt idx="5">
                  <c:v>0</c:v>
                </c:pt>
              </c:numCache>
            </c:numRef>
          </c:val>
        </c:ser>
        <c:ser>
          <c:idx val="1"/>
          <c:order val="2"/>
          <c:tx>
            <c:strRef>
              <c:f>'Sources schémas'!$B$145</c:f>
              <c:strCache>
                <c:ptCount val="1"/>
                <c:pt idx="0">
                  <c:v>Charges variables</c:v>
                </c:pt>
              </c:strCache>
            </c:strRef>
          </c:tx>
          <c:spPr>
            <a:solidFill>
              <a:srgbClr val="FF5050"/>
            </a:solidFill>
            <a:ln w="25400">
              <a:noFill/>
            </a:ln>
          </c:spPr>
          <c:cat>
            <c:numRef>
              <c:f>'Sources schémas'!$C$142:$H$142</c:f>
              <c:numCache>
                <c:formatCode>General</c:formatCode>
                <c:ptCount val="6"/>
                <c:pt idx="0">
                  <c:v>2014</c:v>
                </c:pt>
                <c:pt idx="1">
                  <c:v>2015</c:v>
                </c:pt>
                <c:pt idx="2">
                  <c:v>2016</c:v>
                </c:pt>
                <c:pt idx="3">
                  <c:v>2017</c:v>
                </c:pt>
                <c:pt idx="4">
                  <c:v>2018</c:v>
                </c:pt>
                <c:pt idx="5">
                  <c:v>2019</c:v>
                </c:pt>
              </c:numCache>
            </c:numRef>
          </c:cat>
          <c:val>
            <c:numRef>
              <c:f>'Sources schémas'!$C$145:$H$145</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2337152"/>
        <c:axId val="122338688"/>
      </c:areaChart>
      <c:catAx>
        <c:axId val="122337152"/>
        <c:scaling>
          <c:orientation val="minMax"/>
        </c:scaling>
        <c:delete val="0"/>
        <c:axPos val="b"/>
        <c:numFmt formatCode="General" sourceLinked="1"/>
        <c:majorTickMark val="none"/>
        <c:minorTickMark val="none"/>
        <c:tickLblPos val="nextTo"/>
        <c:txPr>
          <a:bodyPr/>
          <a:lstStyle/>
          <a:p>
            <a:pPr>
              <a:defRPr sz="1050"/>
            </a:pPr>
            <a:endParaRPr lang="fr-FR"/>
          </a:p>
        </c:txPr>
        <c:crossAx val="122338688"/>
        <c:crosses val="autoZero"/>
        <c:auto val="1"/>
        <c:lblAlgn val="ctr"/>
        <c:lblOffset val="100"/>
        <c:noMultiLvlLbl val="0"/>
      </c:catAx>
      <c:valAx>
        <c:axId val="122338688"/>
        <c:scaling>
          <c:orientation val="minMax"/>
        </c:scaling>
        <c:delete val="0"/>
        <c:axPos val="l"/>
        <c:majorGridlines/>
        <c:numFmt formatCode="#,##0" sourceLinked="1"/>
        <c:majorTickMark val="none"/>
        <c:minorTickMark val="none"/>
        <c:tickLblPos val="nextTo"/>
        <c:txPr>
          <a:bodyPr/>
          <a:lstStyle/>
          <a:p>
            <a:pPr>
              <a:defRPr sz="1050"/>
            </a:pPr>
            <a:endParaRPr lang="fr-FR"/>
          </a:p>
        </c:txPr>
        <c:crossAx val="122337152"/>
        <c:crosses val="autoZero"/>
        <c:crossBetween val="midCat"/>
      </c:valAx>
      <c:spPr>
        <a:solidFill>
          <a:schemeClr val="bg2"/>
        </a:solidFill>
      </c:spPr>
    </c:plotArea>
    <c:legend>
      <c:legendPos val="b"/>
      <c:layout>
        <c:manualLayout>
          <c:xMode val="edge"/>
          <c:yMode val="edge"/>
          <c:x val="2.0729826584098981E-2"/>
          <c:y val="9.6011559687331313E-2"/>
          <c:w val="0.95677478912357128"/>
          <c:h val="0.11806263590511699"/>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rgbClr val="00B0F0"/>
                </a:solidFill>
              </a:defRPr>
            </a:pPr>
            <a:r>
              <a:rPr lang="fr-FR" sz="1200" b="1" i="0" baseline="0">
                <a:solidFill>
                  <a:schemeClr val="bg1"/>
                </a:solidFill>
                <a:effectLst/>
              </a:rPr>
              <a:t>Produits - SAD PA/PH - Prestataire</a:t>
            </a:r>
            <a:endParaRPr lang="fr-FR" sz="1200">
              <a:solidFill>
                <a:schemeClr val="bg1"/>
              </a:solidFill>
              <a:effectLst/>
            </a:endParaRPr>
          </a:p>
        </c:rich>
      </c:tx>
      <c:layout>
        <c:manualLayout>
          <c:xMode val="edge"/>
          <c:yMode val="edge"/>
          <c:x val="3.5301587301587313E-2"/>
          <c:y val="2.2281101939743111E-2"/>
        </c:manualLayout>
      </c:layout>
      <c:overlay val="0"/>
      <c:spPr>
        <a:solidFill>
          <a:srgbClr val="00B050"/>
        </a:solidFill>
      </c:spPr>
    </c:title>
    <c:autoTitleDeleted val="0"/>
    <c:plotArea>
      <c:layout>
        <c:manualLayout>
          <c:layoutTarget val="inner"/>
          <c:xMode val="edge"/>
          <c:yMode val="edge"/>
          <c:x val="0.15624871891013642"/>
          <c:y val="0.2766229253356095"/>
          <c:w val="0.78205999250093761"/>
          <c:h val="0.63427932737103954"/>
        </c:manualLayout>
      </c:layout>
      <c:areaChart>
        <c:grouping val="stacked"/>
        <c:varyColors val="0"/>
        <c:ser>
          <c:idx val="1"/>
          <c:order val="0"/>
          <c:tx>
            <c:strRef>
              <c:f>'Sources schémas'!$B$92</c:f>
              <c:strCache>
                <c:ptCount val="1"/>
                <c:pt idx="0">
                  <c:v>Fact. 1/3 payeurs</c:v>
                </c:pt>
              </c:strCache>
            </c:strRef>
          </c:tx>
          <c:spPr>
            <a:solidFill>
              <a:schemeClr val="accent5">
                <a:lumMod val="50000"/>
              </a:schemeClr>
            </a:solidFill>
          </c:spPr>
          <c:cat>
            <c:numRef>
              <c:f>'Sources schémas'!$C$86:$H$86</c:f>
              <c:numCache>
                <c:formatCode>General</c:formatCode>
                <c:ptCount val="6"/>
                <c:pt idx="0">
                  <c:v>2014</c:v>
                </c:pt>
                <c:pt idx="1">
                  <c:v>2015</c:v>
                </c:pt>
                <c:pt idx="2">
                  <c:v>2016</c:v>
                </c:pt>
                <c:pt idx="3">
                  <c:v>2017</c:v>
                </c:pt>
                <c:pt idx="4">
                  <c:v>2018</c:v>
                </c:pt>
                <c:pt idx="5">
                  <c:v>2019</c:v>
                </c:pt>
              </c:numCache>
            </c:numRef>
          </c:cat>
          <c:val>
            <c:numRef>
              <c:f>'Sources schémas'!$C$92:$H$92</c:f>
              <c:numCache>
                <c:formatCode>#,##0</c:formatCode>
                <c:ptCount val="6"/>
                <c:pt idx="0">
                  <c:v>0</c:v>
                </c:pt>
                <c:pt idx="1">
                  <c:v>0</c:v>
                </c:pt>
                <c:pt idx="2">
                  <c:v>0</c:v>
                </c:pt>
                <c:pt idx="3">
                  <c:v>0</c:v>
                </c:pt>
                <c:pt idx="4">
                  <c:v>0</c:v>
                </c:pt>
                <c:pt idx="5">
                  <c:v>0</c:v>
                </c:pt>
              </c:numCache>
            </c:numRef>
          </c:val>
        </c:ser>
        <c:ser>
          <c:idx val="2"/>
          <c:order val="1"/>
          <c:tx>
            <c:strRef>
              <c:f>'Sources schémas'!$B$93</c:f>
              <c:strCache>
                <c:ptCount val="1"/>
                <c:pt idx="0">
                  <c:v>Participat° des usagers</c:v>
                </c:pt>
              </c:strCache>
            </c:strRef>
          </c:tx>
          <c:spPr>
            <a:solidFill>
              <a:srgbClr val="00B0F0"/>
            </a:solidFill>
          </c:spPr>
          <c:cat>
            <c:numRef>
              <c:f>'Sources schémas'!$C$86:$H$86</c:f>
              <c:numCache>
                <c:formatCode>General</c:formatCode>
                <c:ptCount val="6"/>
                <c:pt idx="0">
                  <c:v>2014</c:v>
                </c:pt>
                <c:pt idx="1">
                  <c:v>2015</c:v>
                </c:pt>
                <c:pt idx="2">
                  <c:v>2016</c:v>
                </c:pt>
                <c:pt idx="3">
                  <c:v>2017</c:v>
                </c:pt>
                <c:pt idx="4">
                  <c:v>2018</c:v>
                </c:pt>
                <c:pt idx="5">
                  <c:v>2019</c:v>
                </c:pt>
              </c:numCache>
            </c:numRef>
          </c:cat>
          <c:val>
            <c:numRef>
              <c:f>'Sources schémas'!$C$93:$H$93</c:f>
              <c:numCache>
                <c:formatCode>#,##0</c:formatCode>
                <c:ptCount val="6"/>
                <c:pt idx="0">
                  <c:v>0</c:v>
                </c:pt>
                <c:pt idx="1">
                  <c:v>0</c:v>
                </c:pt>
                <c:pt idx="2">
                  <c:v>0</c:v>
                </c:pt>
                <c:pt idx="3">
                  <c:v>0</c:v>
                </c:pt>
                <c:pt idx="4">
                  <c:v>0</c:v>
                </c:pt>
                <c:pt idx="5">
                  <c:v>0</c:v>
                </c:pt>
              </c:numCache>
            </c:numRef>
          </c:val>
        </c:ser>
        <c:ser>
          <c:idx val="3"/>
          <c:order val="2"/>
          <c:tx>
            <c:strRef>
              <c:f>'Sources schémas'!$B$94</c:f>
              <c:strCache>
                <c:ptCount val="1"/>
                <c:pt idx="0">
                  <c:v>Subv., aides à l'emploi</c:v>
                </c:pt>
              </c:strCache>
            </c:strRef>
          </c:tx>
          <c:spPr>
            <a:solidFill>
              <a:srgbClr val="7030A0"/>
            </a:solidFill>
          </c:spPr>
          <c:cat>
            <c:numRef>
              <c:f>'Sources schémas'!$C$86:$H$86</c:f>
              <c:numCache>
                <c:formatCode>General</c:formatCode>
                <c:ptCount val="6"/>
                <c:pt idx="0">
                  <c:v>2014</c:v>
                </c:pt>
                <c:pt idx="1">
                  <c:v>2015</c:v>
                </c:pt>
                <c:pt idx="2">
                  <c:v>2016</c:v>
                </c:pt>
                <c:pt idx="3">
                  <c:v>2017</c:v>
                </c:pt>
                <c:pt idx="4">
                  <c:v>2018</c:v>
                </c:pt>
                <c:pt idx="5">
                  <c:v>2019</c:v>
                </c:pt>
              </c:numCache>
            </c:numRef>
          </c:cat>
          <c:val>
            <c:numRef>
              <c:f>'Sources schémas'!$C$94:$H$94</c:f>
              <c:numCache>
                <c:formatCode>#,##0</c:formatCode>
                <c:ptCount val="6"/>
                <c:pt idx="0">
                  <c:v>0</c:v>
                </c:pt>
                <c:pt idx="1">
                  <c:v>0</c:v>
                </c:pt>
                <c:pt idx="2">
                  <c:v>0</c:v>
                </c:pt>
                <c:pt idx="3">
                  <c:v>0</c:v>
                </c:pt>
                <c:pt idx="4">
                  <c:v>0</c:v>
                </c:pt>
                <c:pt idx="5">
                  <c:v>0</c:v>
                </c:pt>
              </c:numCache>
            </c:numRef>
          </c:val>
        </c:ser>
        <c:ser>
          <c:idx val="4"/>
          <c:order val="3"/>
          <c:tx>
            <c:strRef>
              <c:f>'Sources schémas'!$B$95</c:f>
              <c:strCache>
                <c:ptCount val="1"/>
                <c:pt idx="0">
                  <c:v>Autres produits expl.</c:v>
                </c:pt>
              </c:strCache>
            </c:strRef>
          </c:tx>
          <c:spPr>
            <a:solidFill>
              <a:schemeClr val="tx1">
                <a:lumMod val="50000"/>
                <a:lumOff val="50000"/>
              </a:schemeClr>
            </a:solidFill>
            <a:ln w="25400">
              <a:noFill/>
            </a:ln>
          </c:spPr>
          <c:cat>
            <c:numRef>
              <c:f>'Sources schémas'!$C$86:$H$86</c:f>
              <c:numCache>
                <c:formatCode>General</c:formatCode>
                <c:ptCount val="6"/>
                <c:pt idx="0">
                  <c:v>2014</c:v>
                </c:pt>
                <c:pt idx="1">
                  <c:v>2015</c:v>
                </c:pt>
                <c:pt idx="2">
                  <c:v>2016</c:v>
                </c:pt>
                <c:pt idx="3">
                  <c:v>2017</c:v>
                </c:pt>
                <c:pt idx="4">
                  <c:v>2018</c:v>
                </c:pt>
                <c:pt idx="5">
                  <c:v>2019</c:v>
                </c:pt>
              </c:numCache>
            </c:numRef>
          </c:cat>
          <c:val>
            <c:numRef>
              <c:f>'Sources schémas'!$C$95:$H$95</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2439552"/>
        <c:axId val="122441088"/>
      </c:areaChart>
      <c:catAx>
        <c:axId val="122439552"/>
        <c:scaling>
          <c:orientation val="minMax"/>
        </c:scaling>
        <c:delete val="0"/>
        <c:axPos val="b"/>
        <c:numFmt formatCode="General" sourceLinked="1"/>
        <c:majorTickMark val="none"/>
        <c:minorTickMark val="none"/>
        <c:tickLblPos val="nextTo"/>
        <c:txPr>
          <a:bodyPr/>
          <a:lstStyle/>
          <a:p>
            <a:pPr>
              <a:defRPr sz="1050"/>
            </a:pPr>
            <a:endParaRPr lang="fr-FR"/>
          </a:p>
        </c:txPr>
        <c:crossAx val="122441088"/>
        <c:crosses val="autoZero"/>
        <c:auto val="1"/>
        <c:lblAlgn val="ctr"/>
        <c:lblOffset val="100"/>
        <c:noMultiLvlLbl val="0"/>
      </c:catAx>
      <c:valAx>
        <c:axId val="122441088"/>
        <c:scaling>
          <c:orientation val="minMax"/>
        </c:scaling>
        <c:delete val="0"/>
        <c:axPos val="l"/>
        <c:majorGridlines/>
        <c:numFmt formatCode="#,##0" sourceLinked="1"/>
        <c:majorTickMark val="none"/>
        <c:minorTickMark val="none"/>
        <c:tickLblPos val="nextTo"/>
        <c:txPr>
          <a:bodyPr/>
          <a:lstStyle/>
          <a:p>
            <a:pPr algn="ctr">
              <a:defRPr sz="1050"/>
            </a:pPr>
            <a:endParaRPr lang="fr-FR"/>
          </a:p>
        </c:txPr>
        <c:crossAx val="122439552"/>
        <c:crosses val="autoZero"/>
        <c:crossBetween val="midCat"/>
      </c:valAx>
      <c:spPr>
        <a:solidFill>
          <a:schemeClr val="bg2"/>
        </a:solidFill>
      </c:spPr>
    </c:plotArea>
    <c:legend>
      <c:legendPos val="t"/>
      <c:layout>
        <c:manualLayout>
          <c:xMode val="edge"/>
          <c:yMode val="edge"/>
          <c:x val="9.0054887412385504E-3"/>
          <c:y val="0.10372862744348123"/>
          <c:w val="0.9802144308788574"/>
          <c:h val="0.11466970560342127"/>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bg1"/>
                </a:solidFill>
              </a:defRPr>
            </a:pPr>
            <a:r>
              <a:rPr lang="fr-FR" sz="1200" b="1" i="0" baseline="0">
                <a:solidFill>
                  <a:schemeClr val="bg1"/>
                </a:solidFill>
                <a:effectLst/>
              </a:rPr>
              <a:t>Produits - SAD Famille - Prestataire</a:t>
            </a:r>
            <a:endParaRPr lang="fr-FR" sz="1200">
              <a:solidFill>
                <a:schemeClr val="bg1"/>
              </a:solidFill>
              <a:effectLst/>
            </a:endParaRPr>
          </a:p>
        </c:rich>
      </c:tx>
      <c:layout>
        <c:manualLayout>
          <c:xMode val="edge"/>
          <c:yMode val="edge"/>
          <c:x val="1.6253968253968278E-2"/>
          <c:y val="1.9067045949201791E-2"/>
        </c:manualLayout>
      </c:layout>
      <c:overlay val="0"/>
      <c:spPr>
        <a:solidFill>
          <a:srgbClr val="878543"/>
        </a:solidFill>
      </c:spPr>
    </c:title>
    <c:autoTitleDeleted val="0"/>
    <c:plotArea>
      <c:layout>
        <c:manualLayout>
          <c:layoutTarget val="inner"/>
          <c:xMode val="edge"/>
          <c:yMode val="edge"/>
          <c:x val="0.15624871891013642"/>
          <c:y val="0.24473091256069837"/>
          <c:w val="0.78205999250093761"/>
          <c:h val="0.6661715074793052"/>
        </c:manualLayout>
      </c:layout>
      <c:areaChart>
        <c:grouping val="stacked"/>
        <c:varyColors val="0"/>
        <c:ser>
          <c:idx val="2"/>
          <c:order val="0"/>
          <c:tx>
            <c:strRef>
              <c:f>'Sources schémas'!$B$106</c:f>
              <c:strCache>
                <c:ptCount val="1"/>
                <c:pt idx="0">
                  <c:v>Fact. 1/3 payeurs</c:v>
                </c:pt>
              </c:strCache>
            </c:strRef>
          </c:tx>
          <c:spPr>
            <a:solidFill>
              <a:schemeClr val="accent5">
                <a:lumMod val="50000"/>
              </a:schemeClr>
            </a:solidFill>
          </c:spPr>
          <c:cat>
            <c:numRef>
              <c:f>'Sources schémas'!$C$105:$H$105</c:f>
              <c:numCache>
                <c:formatCode>General</c:formatCode>
                <c:ptCount val="6"/>
                <c:pt idx="0">
                  <c:v>2014</c:v>
                </c:pt>
                <c:pt idx="1">
                  <c:v>2015</c:v>
                </c:pt>
                <c:pt idx="2">
                  <c:v>2016</c:v>
                </c:pt>
                <c:pt idx="3">
                  <c:v>2017</c:v>
                </c:pt>
                <c:pt idx="4">
                  <c:v>2018</c:v>
                </c:pt>
                <c:pt idx="5" formatCode="0">
                  <c:v>2019</c:v>
                </c:pt>
              </c:numCache>
            </c:numRef>
          </c:cat>
          <c:val>
            <c:numRef>
              <c:f>'Sources schémas'!$C$106:$H$106</c:f>
              <c:numCache>
                <c:formatCode>#,##0</c:formatCode>
                <c:ptCount val="6"/>
                <c:pt idx="0">
                  <c:v>0</c:v>
                </c:pt>
                <c:pt idx="1">
                  <c:v>0</c:v>
                </c:pt>
                <c:pt idx="2">
                  <c:v>0</c:v>
                </c:pt>
                <c:pt idx="3">
                  <c:v>0</c:v>
                </c:pt>
                <c:pt idx="4">
                  <c:v>0</c:v>
                </c:pt>
                <c:pt idx="5">
                  <c:v>0</c:v>
                </c:pt>
              </c:numCache>
            </c:numRef>
          </c:val>
        </c:ser>
        <c:ser>
          <c:idx val="3"/>
          <c:order val="1"/>
          <c:tx>
            <c:strRef>
              <c:f>'Sources schémas'!$B$107</c:f>
              <c:strCache>
                <c:ptCount val="1"/>
                <c:pt idx="0">
                  <c:v>Participat° des usagers</c:v>
                </c:pt>
              </c:strCache>
            </c:strRef>
          </c:tx>
          <c:spPr>
            <a:solidFill>
              <a:srgbClr val="00B0F0"/>
            </a:solidFill>
          </c:spPr>
          <c:cat>
            <c:numRef>
              <c:f>'Sources schémas'!$C$105:$H$105</c:f>
              <c:numCache>
                <c:formatCode>General</c:formatCode>
                <c:ptCount val="6"/>
                <c:pt idx="0">
                  <c:v>2014</c:v>
                </c:pt>
                <c:pt idx="1">
                  <c:v>2015</c:v>
                </c:pt>
                <c:pt idx="2">
                  <c:v>2016</c:v>
                </c:pt>
                <c:pt idx="3">
                  <c:v>2017</c:v>
                </c:pt>
                <c:pt idx="4">
                  <c:v>2018</c:v>
                </c:pt>
                <c:pt idx="5" formatCode="0">
                  <c:v>2019</c:v>
                </c:pt>
              </c:numCache>
            </c:numRef>
          </c:cat>
          <c:val>
            <c:numRef>
              <c:f>'Sources schémas'!$C$107:$H$107</c:f>
              <c:numCache>
                <c:formatCode>#,##0</c:formatCode>
                <c:ptCount val="6"/>
                <c:pt idx="0">
                  <c:v>0</c:v>
                </c:pt>
                <c:pt idx="1">
                  <c:v>0</c:v>
                </c:pt>
                <c:pt idx="2">
                  <c:v>0</c:v>
                </c:pt>
                <c:pt idx="3">
                  <c:v>0</c:v>
                </c:pt>
                <c:pt idx="4">
                  <c:v>0</c:v>
                </c:pt>
                <c:pt idx="5">
                  <c:v>0</c:v>
                </c:pt>
              </c:numCache>
            </c:numRef>
          </c:val>
        </c:ser>
        <c:ser>
          <c:idx val="4"/>
          <c:order val="2"/>
          <c:tx>
            <c:strRef>
              <c:f>'Sources schémas'!$B$108</c:f>
              <c:strCache>
                <c:ptCount val="1"/>
                <c:pt idx="0">
                  <c:v>Subv., aides à l'emploi</c:v>
                </c:pt>
              </c:strCache>
            </c:strRef>
          </c:tx>
          <c:spPr>
            <a:solidFill>
              <a:srgbClr val="7030A0"/>
            </a:solidFill>
            <a:ln w="25400">
              <a:noFill/>
            </a:ln>
          </c:spPr>
          <c:cat>
            <c:numRef>
              <c:f>'Sources schémas'!$C$105:$H$105</c:f>
              <c:numCache>
                <c:formatCode>General</c:formatCode>
                <c:ptCount val="6"/>
                <c:pt idx="0">
                  <c:v>2014</c:v>
                </c:pt>
                <c:pt idx="1">
                  <c:v>2015</c:v>
                </c:pt>
                <c:pt idx="2">
                  <c:v>2016</c:v>
                </c:pt>
                <c:pt idx="3">
                  <c:v>2017</c:v>
                </c:pt>
                <c:pt idx="4">
                  <c:v>2018</c:v>
                </c:pt>
                <c:pt idx="5" formatCode="0">
                  <c:v>2019</c:v>
                </c:pt>
              </c:numCache>
            </c:numRef>
          </c:cat>
          <c:val>
            <c:numRef>
              <c:f>'Sources schémas'!$C$108:$H$108</c:f>
              <c:numCache>
                <c:formatCode>#,##0</c:formatCode>
                <c:ptCount val="6"/>
                <c:pt idx="0">
                  <c:v>0</c:v>
                </c:pt>
                <c:pt idx="1">
                  <c:v>0</c:v>
                </c:pt>
                <c:pt idx="2">
                  <c:v>0</c:v>
                </c:pt>
                <c:pt idx="3">
                  <c:v>0</c:v>
                </c:pt>
                <c:pt idx="4">
                  <c:v>0</c:v>
                </c:pt>
                <c:pt idx="5">
                  <c:v>0</c:v>
                </c:pt>
              </c:numCache>
            </c:numRef>
          </c:val>
        </c:ser>
        <c:ser>
          <c:idx val="0"/>
          <c:order val="3"/>
          <c:tx>
            <c:strRef>
              <c:f>'Sources schémas'!$B$109</c:f>
              <c:strCache>
                <c:ptCount val="1"/>
                <c:pt idx="0">
                  <c:v>Autres produits expl.</c:v>
                </c:pt>
              </c:strCache>
            </c:strRef>
          </c:tx>
          <c:spPr>
            <a:solidFill>
              <a:schemeClr val="tx1">
                <a:lumMod val="50000"/>
                <a:lumOff val="50000"/>
              </a:schemeClr>
            </a:solidFill>
            <a:ln w="25400">
              <a:noFill/>
            </a:ln>
          </c:spPr>
          <c:cat>
            <c:numRef>
              <c:f>'Sources schémas'!$C$105:$H$105</c:f>
              <c:numCache>
                <c:formatCode>General</c:formatCode>
                <c:ptCount val="6"/>
                <c:pt idx="0">
                  <c:v>2014</c:v>
                </c:pt>
                <c:pt idx="1">
                  <c:v>2015</c:v>
                </c:pt>
                <c:pt idx="2">
                  <c:v>2016</c:v>
                </c:pt>
                <c:pt idx="3">
                  <c:v>2017</c:v>
                </c:pt>
                <c:pt idx="4">
                  <c:v>2018</c:v>
                </c:pt>
                <c:pt idx="5" formatCode="0">
                  <c:v>2019</c:v>
                </c:pt>
              </c:numCache>
            </c:numRef>
          </c:cat>
          <c:val>
            <c:numRef>
              <c:f>'Sources schémas'!$C$109:$H$109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2230272"/>
        <c:axId val="122231808"/>
      </c:areaChart>
      <c:catAx>
        <c:axId val="122230272"/>
        <c:scaling>
          <c:orientation val="minMax"/>
        </c:scaling>
        <c:delete val="0"/>
        <c:axPos val="b"/>
        <c:numFmt formatCode="General" sourceLinked="1"/>
        <c:majorTickMark val="none"/>
        <c:minorTickMark val="none"/>
        <c:tickLblPos val="nextTo"/>
        <c:txPr>
          <a:bodyPr/>
          <a:lstStyle/>
          <a:p>
            <a:pPr>
              <a:defRPr sz="1050"/>
            </a:pPr>
            <a:endParaRPr lang="fr-FR"/>
          </a:p>
        </c:txPr>
        <c:crossAx val="122231808"/>
        <c:crosses val="autoZero"/>
        <c:auto val="1"/>
        <c:lblAlgn val="ctr"/>
        <c:lblOffset val="100"/>
        <c:noMultiLvlLbl val="0"/>
      </c:catAx>
      <c:valAx>
        <c:axId val="122231808"/>
        <c:scaling>
          <c:orientation val="minMax"/>
        </c:scaling>
        <c:delete val="0"/>
        <c:axPos val="l"/>
        <c:majorGridlines/>
        <c:numFmt formatCode="#,##0" sourceLinked="1"/>
        <c:majorTickMark val="none"/>
        <c:minorTickMark val="none"/>
        <c:tickLblPos val="nextTo"/>
        <c:txPr>
          <a:bodyPr/>
          <a:lstStyle/>
          <a:p>
            <a:pPr algn="ctr">
              <a:defRPr sz="1050"/>
            </a:pPr>
            <a:endParaRPr lang="fr-FR"/>
          </a:p>
        </c:txPr>
        <c:crossAx val="122230272"/>
        <c:crosses val="autoZero"/>
        <c:crossBetween val="midCat"/>
      </c:valAx>
      <c:spPr>
        <a:solidFill>
          <a:schemeClr val="bg2"/>
        </a:solidFill>
      </c:spPr>
    </c:plotArea>
    <c:legend>
      <c:legendPos val="t"/>
      <c:layout>
        <c:manualLayout>
          <c:xMode val="edge"/>
          <c:yMode val="edge"/>
          <c:x val="1.7262412750553419E-2"/>
          <c:y val="9.0914681675996895E-2"/>
          <c:w val="0.97777680652904209"/>
          <c:h val="0.11421794343540066"/>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rgbClr val="00B0F0"/>
                </a:solidFill>
              </a:defRPr>
            </a:pPr>
            <a:r>
              <a:rPr lang="fr-FR" sz="1200" b="1" i="0" baseline="0">
                <a:solidFill>
                  <a:schemeClr val="bg1"/>
                </a:solidFill>
                <a:effectLst/>
              </a:rPr>
              <a:t>Produits - SAD - Mandataire</a:t>
            </a:r>
            <a:endParaRPr lang="fr-FR" sz="1200">
              <a:solidFill>
                <a:schemeClr val="bg1"/>
              </a:solidFill>
              <a:effectLst/>
            </a:endParaRPr>
          </a:p>
        </c:rich>
      </c:tx>
      <c:layout>
        <c:manualLayout>
          <c:xMode val="edge"/>
          <c:yMode val="edge"/>
          <c:x val="2.5777777777777847E-2"/>
          <c:y val="2.2300101354928825E-2"/>
        </c:manualLayout>
      </c:layout>
      <c:overlay val="0"/>
      <c:spPr>
        <a:solidFill>
          <a:srgbClr val="92D050"/>
        </a:solidFill>
      </c:spPr>
    </c:title>
    <c:autoTitleDeleted val="0"/>
    <c:plotArea>
      <c:layout>
        <c:manualLayout>
          <c:layoutTarget val="inner"/>
          <c:xMode val="edge"/>
          <c:yMode val="edge"/>
          <c:x val="0.15624871891013642"/>
          <c:y val="0.27983063798428753"/>
          <c:w val="0.78205999250093761"/>
          <c:h val="0.63107183413938961"/>
        </c:manualLayout>
      </c:layout>
      <c:areaChart>
        <c:grouping val="stacked"/>
        <c:varyColors val="0"/>
        <c:ser>
          <c:idx val="2"/>
          <c:order val="0"/>
          <c:tx>
            <c:strRef>
              <c:f>'Sources schémas'!$B$106</c:f>
              <c:strCache>
                <c:ptCount val="1"/>
                <c:pt idx="0">
                  <c:v>Fact. 1/3 payeurs</c:v>
                </c:pt>
              </c:strCache>
            </c:strRef>
          </c:tx>
          <c:spPr>
            <a:solidFill>
              <a:schemeClr val="accent5">
                <a:lumMod val="50000"/>
              </a:schemeClr>
            </a:solidFill>
          </c:spPr>
          <c:cat>
            <c:numRef>
              <c:f>'Sources schémas'!$C$114:$H$114</c:f>
              <c:numCache>
                <c:formatCode>General</c:formatCode>
                <c:ptCount val="6"/>
                <c:pt idx="0">
                  <c:v>2014</c:v>
                </c:pt>
                <c:pt idx="1">
                  <c:v>2015</c:v>
                </c:pt>
                <c:pt idx="2">
                  <c:v>2016</c:v>
                </c:pt>
                <c:pt idx="3">
                  <c:v>2017</c:v>
                </c:pt>
                <c:pt idx="4">
                  <c:v>2018</c:v>
                </c:pt>
                <c:pt idx="5">
                  <c:v>2019</c:v>
                </c:pt>
              </c:numCache>
            </c:numRef>
          </c:cat>
          <c:val>
            <c:numRef>
              <c:f>'Sources schémas'!$C$106:$H$106</c:f>
              <c:numCache>
                <c:formatCode>#,##0</c:formatCode>
                <c:ptCount val="6"/>
                <c:pt idx="0">
                  <c:v>0</c:v>
                </c:pt>
                <c:pt idx="1">
                  <c:v>0</c:v>
                </c:pt>
                <c:pt idx="2">
                  <c:v>0</c:v>
                </c:pt>
                <c:pt idx="3">
                  <c:v>0</c:v>
                </c:pt>
                <c:pt idx="4">
                  <c:v>0</c:v>
                </c:pt>
                <c:pt idx="5">
                  <c:v>0</c:v>
                </c:pt>
              </c:numCache>
            </c:numRef>
          </c:val>
        </c:ser>
        <c:ser>
          <c:idx val="3"/>
          <c:order val="1"/>
          <c:tx>
            <c:strRef>
              <c:f>'Sources schémas'!$B$107</c:f>
              <c:strCache>
                <c:ptCount val="1"/>
                <c:pt idx="0">
                  <c:v>Participat° des usagers</c:v>
                </c:pt>
              </c:strCache>
            </c:strRef>
          </c:tx>
          <c:spPr>
            <a:solidFill>
              <a:srgbClr val="00B0F0"/>
            </a:solidFill>
          </c:spPr>
          <c:cat>
            <c:numRef>
              <c:f>'Sources schémas'!$C$114:$H$114</c:f>
              <c:numCache>
                <c:formatCode>General</c:formatCode>
                <c:ptCount val="6"/>
                <c:pt idx="0">
                  <c:v>2014</c:v>
                </c:pt>
                <c:pt idx="1">
                  <c:v>2015</c:v>
                </c:pt>
                <c:pt idx="2">
                  <c:v>2016</c:v>
                </c:pt>
                <c:pt idx="3">
                  <c:v>2017</c:v>
                </c:pt>
                <c:pt idx="4">
                  <c:v>2018</c:v>
                </c:pt>
                <c:pt idx="5">
                  <c:v>2019</c:v>
                </c:pt>
              </c:numCache>
            </c:numRef>
          </c:cat>
          <c:val>
            <c:numRef>
              <c:f>'Sources schémas'!$C$107:$H$107</c:f>
              <c:numCache>
                <c:formatCode>#,##0</c:formatCode>
                <c:ptCount val="6"/>
                <c:pt idx="0">
                  <c:v>0</c:v>
                </c:pt>
                <c:pt idx="1">
                  <c:v>0</c:v>
                </c:pt>
                <c:pt idx="2">
                  <c:v>0</c:v>
                </c:pt>
                <c:pt idx="3">
                  <c:v>0</c:v>
                </c:pt>
                <c:pt idx="4">
                  <c:v>0</c:v>
                </c:pt>
                <c:pt idx="5">
                  <c:v>0</c:v>
                </c:pt>
              </c:numCache>
            </c:numRef>
          </c:val>
        </c:ser>
        <c:ser>
          <c:idx val="4"/>
          <c:order val="2"/>
          <c:tx>
            <c:strRef>
              <c:f>'Sources schémas'!$B$108</c:f>
              <c:strCache>
                <c:ptCount val="1"/>
                <c:pt idx="0">
                  <c:v>Subv., aides à l'emploi</c:v>
                </c:pt>
              </c:strCache>
            </c:strRef>
          </c:tx>
          <c:spPr>
            <a:solidFill>
              <a:srgbClr val="7030A0"/>
            </a:solidFill>
            <a:ln w="25400">
              <a:noFill/>
            </a:ln>
          </c:spPr>
          <c:cat>
            <c:numRef>
              <c:f>'Sources schémas'!$C$114:$H$114</c:f>
              <c:numCache>
                <c:formatCode>General</c:formatCode>
                <c:ptCount val="6"/>
                <c:pt idx="0">
                  <c:v>2014</c:v>
                </c:pt>
                <c:pt idx="1">
                  <c:v>2015</c:v>
                </c:pt>
                <c:pt idx="2">
                  <c:v>2016</c:v>
                </c:pt>
                <c:pt idx="3">
                  <c:v>2017</c:v>
                </c:pt>
                <c:pt idx="4">
                  <c:v>2018</c:v>
                </c:pt>
                <c:pt idx="5">
                  <c:v>2019</c:v>
                </c:pt>
              </c:numCache>
            </c:numRef>
          </c:cat>
          <c:val>
            <c:numRef>
              <c:f>'Sources schémas'!$C$108:$H$108</c:f>
              <c:numCache>
                <c:formatCode>#,##0</c:formatCode>
                <c:ptCount val="6"/>
                <c:pt idx="0">
                  <c:v>0</c:v>
                </c:pt>
                <c:pt idx="1">
                  <c:v>0</c:v>
                </c:pt>
                <c:pt idx="2">
                  <c:v>0</c:v>
                </c:pt>
                <c:pt idx="3">
                  <c:v>0</c:v>
                </c:pt>
                <c:pt idx="4">
                  <c:v>0</c:v>
                </c:pt>
                <c:pt idx="5">
                  <c:v>0</c:v>
                </c:pt>
              </c:numCache>
            </c:numRef>
          </c:val>
        </c:ser>
        <c:ser>
          <c:idx val="0"/>
          <c:order val="3"/>
          <c:tx>
            <c:strRef>
              <c:f>'Sources schémas'!$B$109</c:f>
              <c:strCache>
                <c:ptCount val="1"/>
                <c:pt idx="0">
                  <c:v>Autres produits expl.</c:v>
                </c:pt>
              </c:strCache>
            </c:strRef>
          </c:tx>
          <c:spPr>
            <a:solidFill>
              <a:srgbClr val="808080"/>
            </a:solidFill>
            <a:ln w="25400">
              <a:noFill/>
            </a:ln>
          </c:spPr>
          <c:cat>
            <c:numRef>
              <c:f>'Sources schémas'!$C$114:$H$114</c:f>
              <c:numCache>
                <c:formatCode>General</c:formatCode>
                <c:ptCount val="6"/>
                <c:pt idx="0">
                  <c:v>2014</c:v>
                </c:pt>
                <c:pt idx="1">
                  <c:v>2015</c:v>
                </c:pt>
                <c:pt idx="2">
                  <c:v>2016</c:v>
                </c:pt>
                <c:pt idx="3">
                  <c:v>2017</c:v>
                </c:pt>
                <c:pt idx="4">
                  <c:v>2018</c:v>
                </c:pt>
                <c:pt idx="5">
                  <c:v>2019</c:v>
                </c:pt>
              </c:numCache>
            </c:numRef>
          </c:cat>
          <c:val>
            <c:numRef>
              <c:f>'Sources schémas'!$C$109:$H$109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2275712"/>
        <c:axId val="122277248"/>
      </c:areaChart>
      <c:catAx>
        <c:axId val="122275712"/>
        <c:scaling>
          <c:orientation val="minMax"/>
        </c:scaling>
        <c:delete val="0"/>
        <c:axPos val="b"/>
        <c:numFmt formatCode="General" sourceLinked="1"/>
        <c:majorTickMark val="none"/>
        <c:minorTickMark val="none"/>
        <c:tickLblPos val="nextTo"/>
        <c:txPr>
          <a:bodyPr/>
          <a:lstStyle/>
          <a:p>
            <a:pPr>
              <a:defRPr sz="1050"/>
            </a:pPr>
            <a:endParaRPr lang="fr-FR"/>
          </a:p>
        </c:txPr>
        <c:crossAx val="122277248"/>
        <c:crosses val="autoZero"/>
        <c:auto val="1"/>
        <c:lblAlgn val="ctr"/>
        <c:lblOffset val="100"/>
        <c:noMultiLvlLbl val="0"/>
      </c:catAx>
      <c:valAx>
        <c:axId val="122277248"/>
        <c:scaling>
          <c:orientation val="minMax"/>
        </c:scaling>
        <c:delete val="0"/>
        <c:axPos val="l"/>
        <c:majorGridlines/>
        <c:numFmt formatCode="#,##0" sourceLinked="1"/>
        <c:majorTickMark val="none"/>
        <c:minorTickMark val="none"/>
        <c:tickLblPos val="nextTo"/>
        <c:txPr>
          <a:bodyPr/>
          <a:lstStyle/>
          <a:p>
            <a:pPr algn="ctr">
              <a:defRPr sz="1050"/>
            </a:pPr>
            <a:endParaRPr lang="fr-FR"/>
          </a:p>
        </c:txPr>
        <c:crossAx val="122275712"/>
        <c:crosses val="autoZero"/>
        <c:crossBetween val="midCat"/>
      </c:valAx>
      <c:spPr>
        <a:solidFill>
          <a:schemeClr val="bg2"/>
        </a:solidFill>
      </c:spPr>
    </c:plotArea>
    <c:legend>
      <c:legendPos val="t"/>
      <c:layout>
        <c:manualLayout>
          <c:xMode val="edge"/>
          <c:yMode val="edge"/>
          <c:x val="1.5654835166820931E-2"/>
          <c:y val="9.0914614775632507E-2"/>
          <c:w val="0.96986039526231338"/>
          <c:h val="0.11421794343540066"/>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ysClr val="windowText" lastClr="000000"/>
                </a:solidFill>
              </a:defRPr>
            </a:pPr>
            <a:r>
              <a:rPr lang="fr-FR" sz="1200" b="1" i="0" baseline="0">
                <a:solidFill>
                  <a:sysClr val="windowText" lastClr="000000"/>
                </a:solidFill>
                <a:effectLst/>
              </a:rPr>
              <a:t>Produits SAP - Prestations confort</a:t>
            </a:r>
            <a:endParaRPr lang="fr-FR" sz="1200">
              <a:solidFill>
                <a:sysClr val="windowText" lastClr="000000"/>
              </a:solidFill>
              <a:effectLst/>
            </a:endParaRPr>
          </a:p>
        </c:rich>
      </c:tx>
      <c:layout>
        <c:manualLayout>
          <c:xMode val="edge"/>
          <c:yMode val="edge"/>
          <c:x val="1.9428571428571448E-2"/>
          <c:y val="2.2299152742088546E-2"/>
        </c:manualLayout>
      </c:layout>
      <c:overlay val="0"/>
      <c:spPr>
        <a:solidFill>
          <a:srgbClr val="FFFF00"/>
        </a:solidFill>
      </c:spPr>
    </c:title>
    <c:autoTitleDeleted val="0"/>
    <c:plotArea>
      <c:layout>
        <c:manualLayout>
          <c:layoutTarget val="inner"/>
          <c:xMode val="edge"/>
          <c:yMode val="edge"/>
          <c:x val="0.15624871891013642"/>
          <c:y val="0.28620523596882935"/>
          <c:w val="0.78205999250093761"/>
          <c:h val="0.62469694362170214"/>
        </c:manualLayout>
      </c:layout>
      <c:areaChart>
        <c:grouping val="stacked"/>
        <c:varyColors val="0"/>
        <c:ser>
          <c:idx val="3"/>
          <c:order val="0"/>
          <c:tx>
            <c:strRef>
              <c:f>'Sources schémas'!$B$134</c:f>
              <c:strCache>
                <c:ptCount val="1"/>
                <c:pt idx="0">
                  <c:v>Fact. 1/3 payeurs</c:v>
                </c:pt>
              </c:strCache>
            </c:strRef>
          </c:tx>
          <c:spPr>
            <a:solidFill>
              <a:schemeClr val="accent5">
                <a:lumMod val="50000"/>
              </a:schemeClr>
            </a:solidFill>
          </c:spPr>
          <c:cat>
            <c:numRef>
              <c:f>'Sources schémas'!$C$133:$H$133</c:f>
              <c:numCache>
                <c:formatCode>General</c:formatCode>
                <c:ptCount val="6"/>
                <c:pt idx="0">
                  <c:v>2014</c:v>
                </c:pt>
                <c:pt idx="1">
                  <c:v>2015</c:v>
                </c:pt>
                <c:pt idx="2">
                  <c:v>2016</c:v>
                </c:pt>
                <c:pt idx="3">
                  <c:v>2017</c:v>
                </c:pt>
                <c:pt idx="4">
                  <c:v>2018</c:v>
                </c:pt>
                <c:pt idx="5" formatCode="0">
                  <c:v>2019</c:v>
                </c:pt>
              </c:numCache>
            </c:numRef>
          </c:cat>
          <c:val>
            <c:numRef>
              <c:f>'Sources schémas'!$C$134:$H$134</c:f>
              <c:numCache>
                <c:formatCode>#,##0</c:formatCode>
                <c:ptCount val="6"/>
                <c:pt idx="0">
                  <c:v>0</c:v>
                </c:pt>
                <c:pt idx="1">
                  <c:v>0</c:v>
                </c:pt>
                <c:pt idx="2">
                  <c:v>0</c:v>
                </c:pt>
                <c:pt idx="3">
                  <c:v>0</c:v>
                </c:pt>
                <c:pt idx="4">
                  <c:v>0</c:v>
                </c:pt>
                <c:pt idx="5">
                  <c:v>0</c:v>
                </c:pt>
              </c:numCache>
            </c:numRef>
          </c:val>
        </c:ser>
        <c:ser>
          <c:idx val="4"/>
          <c:order val="1"/>
          <c:tx>
            <c:strRef>
              <c:f>'Sources schémas'!$B$135</c:f>
              <c:strCache>
                <c:ptCount val="1"/>
                <c:pt idx="0">
                  <c:v>Participat° des usagers</c:v>
                </c:pt>
              </c:strCache>
            </c:strRef>
          </c:tx>
          <c:spPr>
            <a:solidFill>
              <a:srgbClr val="00B0F0"/>
            </a:solidFill>
            <a:ln w="25400">
              <a:noFill/>
            </a:ln>
          </c:spPr>
          <c:cat>
            <c:numRef>
              <c:f>'Sources schémas'!$C$133:$H$133</c:f>
              <c:numCache>
                <c:formatCode>General</c:formatCode>
                <c:ptCount val="6"/>
                <c:pt idx="0">
                  <c:v>2014</c:v>
                </c:pt>
                <c:pt idx="1">
                  <c:v>2015</c:v>
                </c:pt>
                <c:pt idx="2">
                  <c:v>2016</c:v>
                </c:pt>
                <c:pt idx="3">
                  <c:v>2017</c:v>
                </c:pt>
                <c:pt idx="4">
                  <c:v>2018</c:v>
                </c:pt>
                <c:pt idx="5" formatCode="0">
                  <c:v>2019</c:v>
                </c:pt>
              </c:numCache>
            </c:numRef>
          </c:cat>
          <c:val>
            <c:numRef>
              <c:f>'Sources schémas'!$C$135:$H$135</c:f>
              <c:numCache>
                <c:formatCode>#,##0</c:formatCode>
                <c:ptCount val="6"/>
                <c:pt idx="0">
                  <c:v>0</c:v>
                </c:pt>
                <c:pt idx="1">
                  <c:v>0</c:v>
                </c:pt>
                <c:pt idx="2">
                  <c:v>0</c:v>
                </c:pt>
                <c:pt idx="3">
                  <c:v>0</c:v>
                </c:pt>
                <c:pt idx="4">
                  <c:v>0</c:v>
                </c:pt>
                <c:pt idx="5">
                  <c:v>0</c:v>
                </c:pt>
              </c:numCache>
            </c:numRef>
          </c:val>
        </c:ser>
        <c:ser>
          <c:idx val="0"/>
          <c:order val="2"/>
          <c:tx>
            <c:strRef>
              <c:f>'Sources schémas'!$B$136</c:f>
              <c:strCache>
                <c:ptCount val="1"/>
                <c:pt idx="0">
                  <c:v>Subv., aides à l'emploi</c:v>
                </c:pt>
              </c:strCache>
            </c:strRef>
          </c:tx>
          <c:spPr>
            <a:solidFill>
              <a:srgbClr val="7030A0"/>
            </a:solidFill>
            <a:ln w="25400">
              <a:noFill/>
            </a:ln>
          </c:spPr>
          <c:cat>
            <c:numRef>
              <c:f>'Sources schémas'!$C$133:$H$133</c:f>
              <c:numCache>
                <c:formatCode>General</c:formatCode>
                <c:ptCount val="6"/>
                <c:pt idx="0">
                  <c:v>2014</c:v>
                </c:pt>
                <c:pt idx="1">
                  <c:v>2015</c:v>
                </c:pt>
                <c:pt idx="2">
                  <c:v>2016</c:v>
                </c:pt>
                <c:pt idx="3">
                  <c:v>2017</c:v>
                </c:pt>
                <c:pt idx="4">
                  <c:v>2018</c:v>
                </c:pt>
                <c:pt idx="5" formatCode="0">
                  <c:v>2019</c:v>
                </c:pt>
              </c:numCache>
            </c:numRef>
          </c:cat>
          <c:val>
            <c:numRef>
              <c:f>'Sources schémas'!$C$136:$H$136</c:f>
              <c:numCache>
                <c:formatCode>#,##0</c:formatCode>
                <c:ptCount val="6"/>
                <c:pt idx="0">
                  <c:v>0</c:v>
                </c:pt>
                <c:pt idx="1">
                  <c:v>0</c:v>
                </c:pt>
                <c:pt idx="2">
                  <c:v>0</c:v>
                </c:pt>
                <c:pt idx="3">
                  <c:v>0</c:v>
                </c:pt>
                <c:pt idx="4">
                  <c:v>0</c:v>
                </c:pt>
                <c:pt idx="5">
                  <c:v>0</c:v>
                </c:pt>
              </c:numCache>
            </c:numRef>
          </c:val>
        </c:ser>
        <c:ser>
          <c:idx val="1"/>
          <c:order val="3"/>
          <c:tx>
            <c:strRef>
              <c:f>'Sources schémas'!$B$137</c:f>
              <c:strCache>
                <c:ptCount val="1"/>
                <c:pt idx="0">
                  <c:v>Autres produits expl.</c:v>
                </c:pt>
              </c:strCache>
            </c:strRef>
          </c:tx>
          <c:spPr>
            <a:solidFill>
              <a:schemeClr val="tx1">
                <a:lumMod val="50000"/>
                <a:lumOff val="50000"/>
              </a:schemeClr>
            </a:solidFill>
            <a:ln w="25400">
              <a:noFill/>
            </a:ln>
          </c:spPr>
          <c:cat>
            <c:numRef>
              <c:f>'Sources schémas'!$C$133:$H$133</c:f>
              <c:numCache>
                <c:formatCode>General</c:formatCode>
                <c:ptCount val="6"/>
                <c:pt idx="0">
                  <c:v>2014</c:v>
                </c:pt>
                <c:pt idx="1">
                  <c:v>2015</c:v>
                </c:pt>
                <c:pt idx="2">
                  <c:v>2016</c:v>
                </c:pt>
                <c:pt idx="3">
                  <c:v>2017</c:v>
                </c:pt>
                <c:pt idx="4">
                  <c:v>2018</c:v>
                </c:pt>
                <c:pt idx="5" formatCode="0">
                  <c:v>2019</c:v>
                </c:pt>
              </c:numCache>
            </c:numRef>
          </c:cat>
          <c:val>
            <c:numRef>
              <c:f>'Sources schémas'!$C$137:$H$137</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4737408"/>
        <c:axId val="124738944"/>
      </c:areaChart>
      <c:catAx>
        <c:axId val="124737408"/>
        <c:scaling>
          <c:orientation val="minMax"/>
        </c:scaling>
        <c:delete val="0"/>
        <c:axPos val="b"/>
        <c:numFmt formatCode="General" sourceLinked="1"/>
        <c:majorTickMark val="none"/>
        <c:minorTickMark val="none"/>
        <c:tickLblPos val="nextTo"/>
        <c:txPr>
          <a:bodyPr/>
          <a:lstStyle/>
          <a:p>
            <a:pPr>
              <a:defRPr sz="1050"/>
            </a:pPr>
            <a:endParaRPr lang="fr-FR"/>
          </a:p>
        </c:txPr>
        <c:crossAx val="124738944"/>
        <c:crosses val="autoZero"/>
        <c:auto val="1"/>
        <c:lblAlgn val="ctr"/>
        <c:lblOffset val="100"/>
        <c:noMultiLvlLbl val="0"/>
      </c:catAx>
      <c:valAx>
        <c:axId val="124738944"/>
        <c:scaling>
          <c:orientation val="minMax"/>
        </c:scaling>
        <c:delete val="0"/>
        <c:axPos val="l"/>
        <c:majorGridlines/>
        <c:numFmt formatCode="#,##0" sourceLinked="1"/>
        <c:majorTickMark val="none"/>
        <c:minorTickMark val="none"/>
        <c:tickLblPos val="nextTo"/>
        <c:txPr>
          <a:bodyPr/>
          <a:lstStyle/>
          <a:p>
            <a:pPr algn="ctr">
              <a:defRPr sz="1050"/>
            </a:pPr>
            <a:endParaRPr lang="fr-FR"/>
          </a:p>
        </c:txPr>
        <c:crossAx val="124737408"/>
        <c:crosses val="autoZero"/>
        <c:crossBetween val="midCat"/>
      </c:valAx>
      <c:spPr>
        <a:solidFill>
          <a:schemeClr val="bg2"/>
        </a:solidFill>
      </c:spPr>
    </c:plotArea>
    <c:legend>
      <c:legendPos val="t"/>
      <c:layout>
        <c:manualLayout>
          <c:xMode val="edge"/>
          <c:yMode val="edge"/>
          <c:x val="3.591388399570634E-3"/>
          <c:y val="9.7316827578037168E-2"/>
          <c:w val="0.99144767616423735"/>
          <c:h val="0.11421794343540066"/>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fr-FR" sz="1600" b="1" i="0" u="none" strike="noStrike" kern="1200" baseline="0">
                <a:solidFill>
                  <a:srgbClr val="00B0F0"/>
                </a:solidFill>
                <a:latin typeface="+mn-lt"/>
                <a:ea typeface="+mn-ea"/>
                <a:cs typeface="+mn-cs"/>
              </a:defRPr>
            </a:pPr>
            <a:r>
              <a:rPr lang="fr-FR" sz="1200" b="1" i="0" baseline="0">
                <a:solidFill>
                  <a:schemeClr val="bg1"/>
                </a:solidFill>
                <a:effectLst/>
              </a:rPr>
              <a:t>Produits - Soins  à Domicile - SSIAD</a:t>
            </a:r>
            <a:endParaRPr lang="fr-FR" sz="1200">
              <a:solidFill>
                <a:schemeClr val="bg1"/>
              </a:solidFill>
              <a:effectLst/>
            </a:endParaRPr>
          </a:p>
        </c:rich>
      </c:tx>
      <c:layout>
        <c:manualLayout>
          <c:xMode val="edge"/>
          <c:yMode val="edge"/>
          <c:x val="1.9428571428571448E-2"/>
          <c:y val="2.2299152742088546E-2"/>
        </c:manualLayout>
      </c:layout>
      <c:overlay val="0"/>
      <c:spPr>
        <a:solidFill>
          <a:srgbClr val="0070C0"/>
        </a:solidFill>
      </c:spPr>
    </c:title>
    <c:autoTitleDeleted val="0"/>
    <c:plotArea>
      <c:layout>
        <c:manualLayout>
          <c:layoutTarget val="inner"/>
          <c:xMode val="edge"/>
          <c:yMode val="edge"/>
          <c:x val="0.15624871891013642"/>
          <c:y val="0.28300998110458953"/>
          <c:w val="0.78205999250093761"/>
          <c:h val="0.62789249492390264"/>
        </c:manualLayout>
      </c:layout>
      <c:areaChart>
        <c:grouping val="stacked"/>
        <c:varyColors val="0"/>
        <c:ser>
          <c:idx val="4"/>
          <c:order val="0"/>
          <c:tx>
            <c:strRef>
              <c:f>'Sources schémas'!$B$148</c:f>
              <c:strCache>
                <c:ptCount val="1"/>
                <c:pt idx="0">
                  <c:v>Fact. 1/3 payeurs</c:v>
                </c:pt>
              </c:strCache>
            </c:strRef>
          </c:tx>
          <c:spPr>
            <a:solidFill>
              <a:schemeClr val="accent5">
                <a:lumMod val="50000"/>
              </a:schemeClr>
            </a:solidFill>
            <a:ln w="25400">
              <a:noFill/>
            </a:ln>
          </c:spPr>
          <c:cat>
            <c:numRef>
              <c:f>'Sources schémas'!$C$147:$H$147</c:f>
              <c:numCache>
                <c:formatCode>General</c:formatCode>
                <c:ptCount val="6"/>
                <c:pt idx="0">
                  <c:v>2014</c:v>
                </c:pt>
                <c:pt idx="1">
                  <c:v>2015</c:v>
                </c:pt>
                <c:pt idx="2">
                  <c:v>2016</c:v>
                </c:pt>
                <c:pt idx="3">
                  <c:v>2017</c:v>
                </c:pt>
                <c:pt idx="4">
                  <c:v>2018</c:v>
                </c:pt>
                <c:pt idx="5" formatCode="0">
                  <c:v>2019</c:v>
                </c:pt>
              </c:numCache>
            </c:numRef>
          </c:cat>
          <c:val>
            <c:numRef>
              <c:f>'Sources schémas'!$C$148:$H$148</c:f>
              <c:numCache>
                <c:formatCode>#,##0</c:formatCode>
                <c:ptCount val="6"/>
                <c:pt idx="0">
                  <c:v>0</c:v>
                </c:pt>
                <c:pt idx="1">
                  <c:v>0</c:v>
                </c:pt>
                <c:pt idx="2">
                  <c:v>0</c:v>
                </c:pt>
                <c:pt idx="3">
                  <c:v>0</c:v>
                </c:pt>
                <c:pt idx="4">
                  <c:v>0</c:v>
                </c:pt>
                <c:pt idx="5">
                  <c:v>0</c:v>
                </c:pt>
              </c:numCache>
            </c:numRef>
          </c:val>
        </c:ser>
        <c:ser>
          <c:idx val="0"/>
          <c:order val="1"/>
          <c:tx>
            <c:strRef>
              <c:f>'Sources schémas'!$B$149</c:f>
              <c:strCache>
                <c:ptCount val="1"/>
                <c:pt idx="0">
                  <c:v>Participat° des usagers</c:v>
                </c:pt>
              </c:strCache>
            </c:strRef>
          </c:tx>
          <c:spPr>
            <a:solidFill>
              <a:srgbClr val="00B0F0"/>
            </a:solidFill>
            <a:ln w="25400">
              <a:noFill/>
            </a:ln>
          </c:spPr>
          <c:cat>
            <c:numRef>
              <c:f>'Sources schémas'!$C$147:$H$147</c:f>
              <c:numCache>
                <c:formatCode>General</c:formatCode>
                <c:ptCount val="6"/>
                <c:pt idx="0">
                  <c:v>2014</c:v>
                </c:pt>
                <c:pt idx="1">
                  <c:v>2015</c:v>
                </c:pt>
                <c:pt idx="2">
                  <c:v>2016</c:v>
                </c:pt>
                <c:pt idx="3">
                  <c:v>2017</c:v>
                </c:pt>
                <c:pt idx="4">
                  <c:v>2018</c:v>
                </c:pt>
                <c:pt idx="5" formatCode="0">
                  <c:v>2019</c:v>
                </c:pt>
              </c:numCache>
            </c:numRef>
          </c:cat>
          <c:val>
            <c:numRef>
              <c:f>'Sources schémas'!$C$149:$H$149</c:f>
              <c:numCache>
                <c:formatCode>#,##0</c:formatCode>
                <c:ptCount val="6"/>
                <c:pt idx="0">
                  <c:v>0</c:v>
                </c:pt>
                <c:pt idx="1">
                  <c:v>0</c:v>
                </c:pt>
                <c:pt idx="2">
                  <c:v>0</c:v>
                </c:pt>
                <c:pt idx="3">
                  <c:v>0</c:v>
                </c:pt>
                <c:pt idx="4">
                  <c:v>0</c:v>
                </c:pt>
                <c:pt idx="5">
                  <c:v>0</c:v>
                </c:pt>
              </c:numCache>
            </c:numRef>
          </c:val>
        </c:ser>
        <c:ser>
          <c:idx val="1"/>
          <c:order val="2"/>
          <c:tx>
            <c:strRef>
              <c:f>'Sources schémas'!$B$150</c:f>
              <c:strCache>
                <c:ptCount val="1"/>
                <c:pt idx="0">
                  <c:v>Subv., aides à l'emploi</c:v>
                </c:pt>
              </c:strCache>
            </c:strRef>
          </c:tx>
          <c:spPr>
            <a:solidFill>
              <a:srgbClr val="7030A0"/>
            </a:solidFill>
            <a:ln w="25400">
              <a:noFill/>
            </a:ln>
          </c:spPr>
          <c:cat>
            <c:numRef>
              <c:f>'Sources schémas'!$C$147:$H$147</c:f>
              <c:numCache>
                <c:formatCode>General</c:formatCode>
                <c:ptCount val="6"/>
                <c:pt idx="0">
                  <c:v>2014</c:v>
                </c:pt>
                <c:pt idx="1">
                  <c:v>2015</c:v>
                </c:pt>
                <c:pt idx="2">
                  <c:v>2016</c:v>
                </c:pt>
                <c:pt idx="3">
                  <c:v>2017</c:v>
                </c:pt>
                <c:pt idx="4">
                  <c:v>2018</c:v>
                </c:pt>
                <c:pt idx="5" formatCode="0">
                  <c:v>2019</c:v>
                </c:pt>
              </c:numCache>
            </c:numRef>
          </c:cat>
          <c:val>
            <c:numRef>
              <c:f>'Sources schémas'!$C$150:$H$150</c:f>
              <c:numCache>
                <c:formatCode>#,##0</c:formatCode>
                <c:ptCount val="6"/>
                <c:pt idx="0">
                  <c:v>0</c:v>
                </c:pt>
                <c:pt idx="1">
                  <c:v>0</c:v>
                </c:pt>
                <c:pt idx="2">
                  <c:v>0</c:v>
                </c:pt>
                <c:pt idx="3">
                  <c:v>0</c:v>
                </c:pt>
                <c:pt idx="4">
                  <c:v>0</c:v>
                </c:pt>
                <c:pt idx="5">
                  <c:v>0</c:v>
                </c:pt>
              </c:numCache>
            </c:numRef>
          </c:val>
        </c:ser>
        <c:ser>
          <c:idx val="2"/>
          <c:order val="3"/>
          <c:tx>
            <c:strRef>
              <c:f>'Sources schémas'!$B$151</c:f>
              <c:strCache>
                <c:ptCount val="1"/>
                <c:pt idx="0">
                  <c:v>Autres produits expl.</c:v>
                </c:pt>
              </c:strCache>
            </c:strRef>
          </c:tx>
          <c:spPr>
            <a:solidFill>
              <a:srgbClr val="808080"/>
            </a:solidFill>
            <a:ln w="25400">
              <a:noFill/>
            </a:ln>
          </c:spPr>
          <c:cat>
            <c:numRef>
              <c:f>'Sources schémas'!$C$147:$H$147</c:f>
              <c:numCache>
                <c:formatCode>General</c:formatCode>
                <c:ptCount val="6"/>
                <c:pt idx="0">
                  <c:v>2014</c:v>
                </c:pt>
                <c:pt idx="1">
                  <c:v>2015</c:v>
                </c:pt>
                <c:pt idx="2">
                  <c:v>2016</c:v>
                </c:pt>
                <c:pt idx="3">
                  <c:v>2017</c:v>
                </c:pt>
                <c:pt idx="4">
                  <c:v>2018</c:v>
                </c:pt>
                <c:pt idx="5" formatCode="0">
                  <c:v>2019</c:v>
                </c:pt>
              </c:numCache>
            </c:numRef>
          </c:cat>
          <c:val>
            <c:numRef>
              <c:f>'Sources schémas'!$C$151:$H$151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7474688"/>
        <c:axId val="127480576"/>
      </c:areaChart>
      <c:catAx>
        <c:axId val="127474688"/>
        <c:scaling>
          <c:orientation val="minMax"/>
        </c:scaling>
        <c:delete val="0"/>
        <c:axPos val="b"/>
        <c:numFmt formatCode="General" sourceLinked="1"/>
        <c:majorTickMark val="none"/>
        <c:minorTickMark val="none"/>
        <c:tickLblPos val="nextTo"/>
        <c:txPr>
          <a:bodyPr/>
          <a:lstStyle/>
          <a:p>
            <a:pPr>
              <a:defRPr sz="1050"/>
            </a:pPr>
            <a:endParaRPr lang="fr-FR"/>
          </a:p>
        </c:txPr>
        <c:crossAx val="127480576"/>
        <c:crosses val="autoZero"/>
        <c:auto val="1"/>
        <c:lblAlgn val="ctr"/>
        <c:lblOffset val="100"/>
        <c:noMultiLvlLbl val="0"/>
      </c:catAx>
      <c:valAx>
        <c:axId val="127480576"/>
        <c:scaling>
          <c:orientation val="minMax"/>
        </c:scaling>
        <c:delete val="0"/>
        <c:axPos val="l"/>
        <c:majorGridlines/>
        <c:numFmt formatCode="#,##0" sourceLinked="1"/>
        <c:majorTickMark val="none"/>
        <c:minorTickMark val="none"/>
        <c:tickLblPos val="nextTo"/>
        <c:txPr>
          <a:bodyPr/>
          <a:lstStyle/>
          <a:p>
            <a:pPr algn="ctr">
              <a:defRPr sz="1050"/>
            </a:pPr>
            <a:endParaRPr lang="fr-FR"/>
          </a:p>
        </c:txPr>
        <c:crossAx val="127474688"/>
        <c:crosses val="autoZero"/>
        <c:crossBetween val="midCat"/>
      </c:valAx>
      <c:spPr>
        <a:solidFill>
          <a:schemeClr val="bg2"/>
        </a:solidFill>
      </c:spPr>
    </c:plotArea>
    <c:legend>
      <c:legendPos val="t"/>
      <c:layout>
        <c:manualLayout>
          <c:xMode val="edge"/>
          <c:yMode val="edge"/>
          <c:x val="1.7164770130695162E-2"/>
          <c:y val="9.731690195772548E-2"/>
          <c:w val="0.96689811110206303"/>
          <c:h val="0.1148631192651302"/>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bg1"/>
                </a:solidFill>
              </a:defRPr>
            </a:pPr>
            <a:r>
              <a:rPr lang="fr-FR" sz="1200">
                <a:solidFill>
                  <a:schemeClr val="bg1"/>
                </a:solidFill>
              </a:rPr>
              <a:t>Charges  - Soins  à Domicile </a:t>
            </a:r>
            <a:r>
              <a:rPr lang="fr-FR" sz="1200" baseline="0">
                <a:solidFill>
                  <a:schemeClr val="bg1"/>
                </a:solidFill>
              </a:rPr>
              <a:t> - CSI</a:t>
            </a:r>
            <a:endParaRPr lang="fr-FR" sz="1200">
              <a:solidFill>
                <a:schemeClr val="bg1"/>
              </a:solidFill>
            </a:endParaRPr>
          </a:p>
        </c:rich>
      </c:tx>
      <c:layout>
        <c:manualLayout>
          <c:xMode val="edge"/>
          <c:yMode val="edge"/>
          <c:x val="1.6337944845369604E-2"/>
          <c:y val="2.3719864793843921E-2"/>
        </c:manualLayout>
      </c:layout>
      <c:overlay val="0"/>
      <c:spPr>
        <a:solidFill>
          <a:srgbClr val="00B0F0"/>
        </a:solidFill>
      </c:spPr>
    </c:title>
    <c:autoTitleDeleted val="0"/>
    <c:plotArea>
      <c:layout>
        <c:manualLayout>
          <c:layoutTarget val="inner"/>
          <c:xMode val="edge"/>
          <c:yMode val="edge"/>
          <c:x val="0.14037570303712041"/>
          <c:y val="0.28660619972526985"/>
          <c:w val="0.80679890013748357"/>
          <c:h val="0.63799826416961058"/>
        </c:manualLayout>
      </c:layout>
      <c:areaChart>
        <c:grouping val="stacked"/>
        <c:varyColors val="0"/>
        <c:ser>
          <c:idx val="0"/>
          <c:order val="0"/>
          <c:tx>
            <c:strRef>
              <c:f>'Sources schémas'!$B$156</c:f>
              <c:strCache>
                <c:ptCount val="1"/>
                <c:pt idx="0">
                  <c:v>Masse salariale</c:v>
                </c:pt>
              </c:strCache>
            </c:strRef>
          </c:tx>
          <c:spPr>
            <a:solidFill>
              <a:schemeClr val="accent2">
                <a:lumMod val="50000"/>
              </a:schemeClr>
            </a:solidFill>
            <a:ln w="25400">
              <a:noFill/>
            </a:ln>
          </c:spPr>
          <c:cat>
            <c:numRef>
              <c:f>'Sources schémas'!$C$155:$H$155</c:f>
              <c:numCache>
                <c:formatCode>General</c:formatCode>
                <c:ptCount val="6"/>
                <c:pt idx="0">
                  <c:v>2014</c:v>
                </c:pt>
                <c:pt idx="1">
                  <c:v>2015</c:v>
                </c:pt>
                <c:pt idx="2">
                  <c:v>2016</c:v>
                </c:pt>
                <c:pt idx="3">
                  <c:v>2017</c:v>
                </c:pt>
                <c:pt idx="4">
                  <c:v>2018</c:v>
                </c:pt>
                <c:pt idx="5">
                  <c:v>2019</c:v>
                </c:pt>
              </c:numCache>
            </c:numRef>
          </c:cat>
          <c:val>
            <c:numRef>
              <c:f>'Sources schémas'!$C$156:$H$156</c:f>
              <c:numCache>
                <c:formatCode>#,##0</c:formatCode>
                <c:ptCount val="6"/>
                <c:pt idx="0">
                  <c:v>0</c:v>
                </c:pt>
                <c:pt idx="1">
                  <c:v>0</c:v>
                </c:pt>
                <c:pt idx="2">
                  <c:v>0</c:v>
                </c:pt>
                <c:pt idx="3">
                  <c:v>0</c:v>
                </c:pt>
                <c:pt idx="4">
                  <c:v>0</c:v>
                </c:pt>
                <c:pt idx="5">
                  <c:v>0</c:v>
                </c:pt>
              </c:numCache>
            </c:numRef>
          </c:val>
        </c:ser>
        <c:ser>
          <c:idx val="1"/>
          <c:order val="1"/>
          <c:tx>
            <c:strRef>
              <c:f>'Sources schémas'!$B$157</c:f>
              <c:strCache>
                <c:ptCount val="1"/>
                <c:pt idx="0">
                  <c:v>Frais de structure</c:v>
                </c:pt>
              </c:strCache>
            </c:strRef>
          </c:tx>
          <c:spPr>
            <a:solidFill>
              <a:srgbClr val="FFC000"/>
            </a:solidFill>
            <a:ln w="25400">
              <a:noFill/>
            </a:ln>
          </c:spPr>
          <c:cat>
            <c:numRef>
              <c:f>'Sources schémas'!$C$155:$H$155</c:f>
              <c:numCache>
                <c:formatCode>General</c:formatCode>
                <c:ptCount val="6"/>
                <c:pt idx="0">
                  <c:v>2014</c:v>
                </c:pt>
                <c:pt idx="1">
                  <c:v>2015</c:v>
                </c:pt>
                <c:pt idx="2">
                  <c:v>2016</c:v>
                </c:pt>
                <c:pt idx="3">
                  <c:v>2017</c:v>
                </c:pt>
                <c:pt idx="4">
                  <c:v>2018</c:v>
                </c:pt>
                <c:pt idx="5">
                  <c:v>2019</c:v>
                </c:pt>
              </c:numCache>
            </c:numRef>
          </c:cat>
          <c:val>
            <c:numRef>
              <c:f>'Sources schémas'!$C$157:$H$157</c:f>
              <c:numCache>
                <c:formatCode>#,##0</c:formatCode>
                <c:ptCount val="6"/>
                <c:pt idx="0">
                  <c:v>0</c:v>
                </c:pt>
                <c:pt idx="1">
                  <c:v>0</c:v>
                </c:pt>
                <c:pt idx="2">
                  <c:v>0</c:v>
                </c:pt>
                <c:pt idx="3">
                  <c:v>0</c:v>
                </c:pt>
                <c:pt idx="4">
                  <c:v>0</c:v>
                </c:pt>
                <c:pt idx="5">
                  <c:v>0</c:v>
                </c:pt>
              </c:numCache>
            </c:numRef>
          </c:val>
        </c:ser>
        <c:ser>
          <c:idx val="2"/>
          <c:order val="2"/>
          <c:tx>
            <c:strRef>
              <c:f>'Sources schémas'!$B$158</c:f>
              <c:strCache>
                <c:ptCount val="1"/>
                <c:pt idx="0">
                  <c:v>Charges variables</c:v>
                </c:pt>
              </c:strCache>
            </c:strRef>
          </c:tx>
          <c:spPr>
            <a:solidFill>
              <a:srgbClr val="FF5050"/>
            </a:solidFill>
            <a:ln w="25400">
              <a:noFill/>
            </a:ln>
          </c:spPr>
          <c:cat>
            <c:numRef>
              <c:f>'Sources schémas'!$C$155:$H$155</c:f>
              <c:numCache>
                <c:formatCode>General</c:formatCode>
                <c:ptCount val="6"/>
                <c:pt idx="0">
                  <c:v>2014</c:v>
                </c:pt>
                <c:pt idx="1">
                  <c:v>2015</c:v>
                </c:pt>
                <c:pt idx="2">
                  <c:v>2016</c:v>
                </c:pt>
                <c:pt idx="3">
                  <c:v>2017</c:v>
                </c:pt>
                <c:pt idx="4">
                  <c:v>2018</c:v>
                </c:pt>
                <c:pt idx="5">
                  <c:v>2019</c:v>
                </c:pt>
              </c:numCache>
            </c:numRef>
          </c:cat>
          <c:val>
            <c:numRef>
              <c:f>'Sources schémas'!$C$158:$H$158</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7502592"/>
        <c:axId val="127516672"/>
      </c:areaChart>
      <c:catAx>
        <c:axId val="127502592"/>
        <c:scaling>
          <c:orientation val="minMax"/>
        </c:scaling>
        <c:delete val="0"/>
        <c:axPos val="b"/>
        <c:numFmt formatCode="General" sourceLinked="1"/>
        <c:majorTickMark val="none"/>
        <c:minorTickMark val="none"/>
        <c:tickLblPos val="nextTo"/>
        <c:txPr>
          <a:bodyPr/>
          <a:lstStyle/>
          <a:p>
            <a:pPr>
              <a:defRPr sz="1050"/>
            </a:pPr>
            <a:endParaRPr lang="fr-FR"/>
          </a:p>
        </c:txPr>
        <c:crossAx val="127516672"/>
        <c:crosses val="autoZero"/>
        <c:auto val="1"/>
        <c:lblAlgn val="ctr"/>
        <c:lblOffset val="100"/>
        <c:noMultiLvlLbl val="0"/>
      </c:catAx>
      <c:valAx>
        <c:axId val="127516672"/>
        <c:scaling>
          <c:orientation val="minMax"/>
        </c:scaling>
        <c:delete val="0"/>
        <c:axPos val="l"/>
        <c:majorGridlines/>
        <c:numFmt formatCode="#,##0" sourceLinked="1"/>
        <c:majorTickMark val="none"/>
        <c:minorTickMark val="none"/>
        <c:tickLblPos val="nextTo"/>
        <c:txPr>
          <a:bodyPr/>
          <a:lstStyle/>
          <a:p>
            <a:pPr>
              <a:defRPr sz="1050"/>
            </a:pPr>
            <a:endParaRPr lang="fr-FR"/>
          </a:p>
        </c:txPr>
        <c:crossAx val="127502592"/>
        <c:crosses val="autoZero"/>
        <c:crossBetween val="midCat"/>
      </c:valAx>
      <c:spPr>
        <a:solidFill>
          <a:schemeClr val="bg2"/>
        </a:solidFill>
      </c:spPr>
    </c:plotArea>
    <c:legend>
      <c:legendPos val="b"/>
      <c:layout>
        <c:manualLayout>
          <c:xMode val="edge"/>
          <c:yMode val="edge"/>
          <c:x val="2.0729826584098981E-2"/>
          <c:y val="9.6011559687331313E-2"/>
          <c:w val="0.96289629713271463"/>
          <c:h val="8.4110452408981004E-2"/>
        </c:manualLayout>
      </c:layout>
      <c:overlay val="0"/>
      <c:txPr>
        <a:bodyPr/>
        <a:lstStyle/>
        <a:p>
          <a:pPr>
            <a:defRPr lang="fr-FR" sz="1200" b="0" i="0" u="none" strike="noStrike" kern="1200" baseline="0">
              <a:solidFill>
                <a:sysClr val="windowText" lastClr="000000"/>
              </a:solidFill>
              <a:latin typeface="+mn-lt"/>
              <a:ea typeface="+mn-ea"/>
              <a:cs typeface="+mn-cs"/>
            </a:defRPr>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fr-FR" sz="1600" b="1" i="0" u="none" strike="noStrike" kern="1200" baseline="0">
                <a:solidFill>
                  <a:srgbClr val="00B0F0"/>
                </a:solidFill>
                <a:latin typeface="+mn-lt"/>
                <a:ea typeface="+mn-ea"/>
                <a:cs typeface="+mn-cs"/>
              </a:defRPr>
            </a:pPr>
            <a:r>
              <a:rPr lang="fr-FR" sz="1200" b="1" i="0" baseline="0">
                <a:solidFill>
                  <a:schemeClr val="bg1"/>
                </a:solidFill>
                <a:effectLst/>
              </a:rPr>
              <a:t>Produits - Soins  à Domicile - CSI</a:t>
            </a:r>
            <a:endParaRPr lang="fr-FR" sz="1200">
              <a:solidFill>
                <a:schemeClr val="bg1"/>
              </a:solidFill>
              <a:effectLst/>
            </a:endParaRPr>
          </a:p>
        </c:rich>
      </c:tx>
      <c:layout>
        <c:manualLayout>
          <c:xMode val="edge"/>
          <c:yMode val="edge"/>
          <c:x val="1.9428571428571448E-2"/>
          <c:y val="2.2299152742088546E-2"/>
        </c:manualLayout>
      </c:layout>
      <c:overlay val="0"/>
      <c:spPr>
        <a:solidFill>
          <a:srgbClr val="00B0F0"/>
        </a:solidFill>
      </c:spPr>
    </c:title>
    <c:autoTitleDeleted val="0"/>
    <c:plotArea>
      <c:layout>
        <c:manualLayout>
          <c:layoutTarget val="inner"/>
          <c:xMode val="edge"/>
          <c:yMode val="edge"/>
          <c:x val="0.15624871891013642"/>
          <c:y val="0.28300998110458953"/>
          <c:w val="0.78205999250093761"/>
          <c:h val="0.62789249492390264"/>
        </c:manualLayout>
      </c:layout>
      <c:areaChart>
        <c:grouping val="stacked"/>
        <c:varyColors val="0"/>
        <c:ser>
          <c:idx val="4"/>
          <c:order val="0"/>
          <c:tx>
            <c:strRef>
              <c:f>'Sources schémas'!$B$148</c:f>
              <c:strCache>
                <c:ptCount val="1"/>
                <c:pt idx="0">
                  <c:v>Fact. 1/3 payeurs</c:v>
                </c:pt>
              </c:strCache>
            </c:strRef>
          </c:tx>
          <c:spPr>
            <a:solidFill>
              <a:schemeClr val="accent5">
                <a:lumMod val="50000"/>
              </a:schemeClr>
            </a:solidFill>
            <a:ln w="25400">
              <a:noFill/>
            </a:ln>
          </c:spPr>
          <c:cat>
            <c:numRef>
              <c:f>'Sources schémas'!$C$147:$H$147</c:f>
              <c:numCache>
                <c:formatCode>General</c:formatCode>
                <c:ptCount val="6"/>
                <c:pt idx="0">
                  <c:v>2014</c:v>
                </c:pt>
                <c:pt idx="1">
                  <c:v>2015</c:v>
                </c:pt>
                <c:pt idx="2">
                  <c:v>2016</c:v>
                </c:pt>
                <c:pt idx="3">
                  <c:v>2017</c:v>
                </c:pt>
                <c:pt idx="4">
                  <c:v>2018</c:v>
                </c:pt>
                <c:pt idx="5" formatCode="0">
                  <c:v>2019</c:v>
                </c:pt>
              </c:numCache>
            </c:numRef>
          </c:cat>
          <c:val>
            <c:numRef>
              <c:f>'Sources schémas'!$C$148:$H$148</c:f>
              <c:numCache>
                <c:formatCode>#,##0</c:formatCode>
                <c:ptCount val="6"/>
                <c:pt idx="0">
                  <c:v>0</c:v>
                </c:pt>
                <c:pt idx="1">
                  <c:v>0</c:v>
                </c:pt>
                <c:pt idx="2">
                  <c:v>0</c:v>
                </c:pt>
                <c:pt idx="3">
                  <c:v>0</c:v>
                </c:pt>
                <c:pt idx="4">
                  <c:v>0</c:v>
                </c:pt>
                <c:pt idx="5">
                  <c:v>0</c:v>
                </c:pt>
              </c:numCache>
            </c:numRef>
          </c:val>
        </c:ser>
        <c:ser>
          <c:idx val="0"/>
          <c:order val="1"/>
          <c:tx>
            <c:strRef>
              <c:f>'Sources schémas'!$B$149</c:f>
              <c:strCache>
                <c:ptCount val="1"/>
                <c:pt idx="0">
                  <c:v>Participat° des usagers</c:v>
                </c:pt>
              </c:strCache>
            </c:strRef>
          </c:tx>
          <c:spPr>
            <a:solidFill>
              <a:srgbClr val="00B0F0"/>
            </a:solidFill>
            <a:ln w="25400">
              <a:noFill/>
            </a:ln>
          </c:spPr>
          <c:cat>
            <c:numRef>
              <c:f>'Sources schémas'!$C$147:$H$147</c:f>
              <c:numCache>
                <c:formatCode>General</c:formatCode>
                <c:ptCount val="6"/>
                <c:pt idx="0">
                  <c:v>2014</c:v>
                </c:pt>
                <c:pt idx="1">
                  <c:v>2015</c:v>
                </c:pt>
                <c:pt idx="2">
                  <c:v>2016</c:v>
                </c:pt>
                <c:pt idx="3">
                  <c:v>2017</c:v>
                </c:pt>
                <c:pt idx="4">
                  <c:v>2018</c:v>
                </c:pt>
                <c:pt idx="5" formatCode="0">
                  <c:v>2019</c:v>
                </c:pt>
              </c:numCache>
            </c:numRef>
          </c:cat>
          <c:val>
            <c:numRef>
              <c:f>'Sources schémas'!$C$149:$H$149</c:f>
              <c:numCache>
                <c:formatCode>#,##0</c:formatCode>
                <c:ptCount val="6"/>
                <c:pt idx="0">
                  <c:v>0</c:v>
                </c:pt>
                <c:pt idx="1">
                  <c:v>0</c:v>
                </c:pt>
                <c:pt idx="2">
                  <c:v>0</c:v>
                </c:pt>
                <c:pt idx="3">
                  <c:v>0</c:v>
                </c:pt>
                <c:pt idx="4">
                  <c:v>0</c:v>
                </c:pt>
                <c:pt idx="5">
                  <c:v>0</c:v>
                </c:pt>
              </c:numCache>
            </c:numRef>
          </c:val>
        </c:ser>
        <c:ser>
          <c:idx val="1"/>
          <c:order val="2"/>
          <c:tx>
            <c:strRef>
              <c:f>'Sources schémas'!$B$150</c:f>
              <c:strCache>
                <c:ptCount val="1"/>
                <c:pt idx="0">
                  <c:v>Subv., aides à l'emploi</c:v>
                </c:pt>
              </c:strCache>
            </c:strRef>
          </c:tx>
          <c:spPr>
            <a:solidFill>
              <a:srgbClr val="7030A0"/>
            </a:solidFill>
            <a:ln w="25400">
              <a:noFill/>
            </a:ln>
          </c:spPr>
          <c:cat>
            <c:numRef>
              <c:f>'Sources schémas'!$C$147:$H$147</c:f>
              <c:numCache>
                <c:formatCode>General</c:formatCode>
                <c:ptCount val="6"/>
                <c:pt idx="0">
                  <c:v>2014</c:v>
                </c:pt>
                <c:pt idx="1">
                  <c:v>2015</c:v>
                </c:pt>
                <c:pt idx="2">
                  <c:v>2016</c:v>
                </c:pt>
                <c:pt idx="3">
                  <c:v>2017</c:v>
                </c:pt>
                <c:pt idx="4">
                  <c:v>2018</c:v>
                </c:pt>
                <c:pt idx="5" formatCode="0">
                  <c:v>2019</c:v>
                </c:pt>
              </c:numCache>
            </c:numRef>
          </c:cat>
          <c:val>
            <c:numRef>
              <c:f>'Sources schémas'!$C$150:$H$150</c:f>
              <c:numCache>
                <c:formatCode>#,##0</c:formatCode>
                <c:ptCount val="6"/>
                <c:pt idx="0">
                  <c:v>0</c:v>
                </c:pt>
                <c:pt idx="1">
                  <c:v>0</c:v>
                </c:pt>
                <c:pt idx="2">
                  <c:v>0</c:v>
                </c:pt>
                <c:pt idx="3">
                  <c:v>0</c:v>
                </c:pt>
                <c:pt idx="4">
                  <c:v>0</c:v>
                </c:pt>
                <c:pt idx="5">
                  <c:v>0</c:v>
                </c:pt>
              </c:numCache>
            </c:numRef>
          </c:val>
        </c:ser>
        <c:ser>
          <c:idx val="2"/>
          <c:order val="3"/>
          <c:tx>
            <c:strRef>
              <c:f>'Sources schémas'!$B$151</c:f>
              <c:strCache>
                <c:ptCount val="1"/>
                <c:pt idx="0">
                  <c:v>Autres produits expl.</c:v>
                </c:pt>
              </c:strCache>
            </c:strRef>
          </c:tx>
          <c:spPr>
            <a:solidFill>
              <a:srgbClr val="808080"/>
            </a:solidFill>
            <a:ln w="25400">
              <a:noFill/>
            </a:ln>
          </c:spPr>
          <c:cat>
            <c:numRef>
              <c:f>'Sources schémas'!$C$147:$H$147</c:f>
              <c:numCache>
                <c:formatCode>General</c:formatCode>
                <c:ptCount val="6"/>
                <c:pt idx="0">
                  <c:v>2014</c:v>
                </c:pt>
                <c:pt idx="1">
                  <c:v>2015</c:v>
                </c:pt>
                <c:pt idx="2">
                  <c:v>2016</c:v>
                </c:pt>
                <c:pt idx="3">
                  <c:v>2017</c:v>
                </c:pt>
                <c:pt idx="4">
                  <c:v>2018</c:v>
                </c:pt>
                <c:pt idx="5" formatCode="0">
                  <c:v>2019</c:v>
                </c:pt>
              </c:numCache>
            </c:numRef>
          </c:cat>
          <c:val>
            <c:numRef>
              <c:f>'Sources schémas'!$C$151:$H$151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28268160"/>
        <c:axId val="128269696"/>
      </c:areaChart>
      <c:catAx>
        <c:axId val="128268160"/>
        <c:scaling>
          <c:orientation val="minMax"/>
        </c:scaling>
        <c:delete val="0"/>
        <c:axPos val="b"/>
        <c:numFmt formatCode="General" sourceLinked="1"/>
        <c:majorTickMark val="none"/>
        <c:minorTickMark val="none"/>
        <c:tickLblPos val="nextTo"/>
        <c:txPr>
          <a:bodyPr/>
          <a:lstStyle/>
          <a:p>
            <a:pPr>
              <a:defRPr sz="1050"/>
            </a:pPr>
            <a:endParaRPr lang="fr-FR"/>
          </a:p>
        </c:txPr>
        <c:crossAx val="128269696"/>
        <c:crosses val="autoZero"/>
        <c:auto val="1"/>
        <c:lblAlgn val="ctr"/>
        <c:lblOffset val="100"/>
        <c:noMultiLvlLbl val="0"/>
      </c:catAx>
      <c:valAx>
        <c:axId val="128269696"/>
        <c:scaling>
          <c:orientation val="minMax"/>
        </c:scaling>
        <c:delete val="0"/>
        <c:axPos val="l"/>
        <c:majorGridlines/>
        <c:numFmt formatCode="#,##0" sourceLinked="1"/>
        <c:majorTickMark val="none"/>
        <c:minorTickMark val="none"/>
        <c:tickLblPos val="nextTo"/>
        <c:txPr>
          <a:bodyPr/>
          <a:lstStyle/>
          <a:p>
            <a:pPr algn="ctr">
              <a:defRPr sz="1050"/>
            </a:pPr>
            <a:endParaRPr lang="fr-FR"/>
          </a:p>
        </c:txPr>
        <c:crossAx val="128268160"/>
        <c:crosses val="autoZero"/>
        <c:crossBetween val="midCat"/>
      </c:valAx>
      <c:spPr>
        <a:solidFill>
          <a:schemeClr val="bg2"/>
        </a:solidFill>
      </c:spPr>
    </c:plotArea>
    <c:legend>
      <c:legendPos val="t"/>
      <c:layout>
        <c:manualLayout>
          <c:xMode val="edge"/>
          <c:yMode val="edge"/>
          <c:x val="1.7164770130695162E-2"/>
          <c:y val="9.731690195772548E-2"/>
          <c:w val="0.96689811110206303"/>
          <c:h val="0.1148631192651302"/>
        </c:manualLayout>
      </c:layout>
      <c:overlay val="0"/>
      <c:txPr>
        <a:bodyPr/>
        <a:lstStyle/>
        <a:p>
          <a:pPr>
            <a:defRPr sz="1200" b="0"/>
          </a:pPr>
          <a:endParaRPr lang="fr-FR"/>
        </a:p>
      </c:txPr>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8.5217875401937732E-2"/>
          <c:y val="4.392701503059309E-2"/>
          <c:w val="0.59250817295913549"/>
          <c:h val="0.84594176211451844"/>
        </c:manualLayout>
      </c:layout>
      <c:bar3DChart>
        <c:barDir val="col"/>
        <c:grouping val="percentStacked"/>
        <c:varyColors val="0"/>
        <c:ser>
          <c:idx val="0"/>
          <c:order val="0"/>
          <c:tx>
            <c:strRef>
              <c:f>'Sources schémas'!$B$75</c:f>
              <c:strCache>
                <c:ptCount val="1"/>
                <c:pt idx="0">
                  <c:v>Services d'aide à domicile 
PA/PH - Prestataire</c:v>
                </c:pt>
              </c:strCache>
            </c:strRef>
          </c:tx>
          <c:spPr>
            <a:solidFill>
              <a:srgbClr val="00B050"/>
            </a:solidFill>
          </c:spPr>
          <c:invertIfNegative val="0"/>
          <c:cat>
            <c:numRef>
              <c:f>'Sources schémas'!$C$74:$H$74</c:f>
              <c:numCache>
                <c:formatCode>General</c:formatCode>
                <c:ptCount val="6"/>
                <c:pt idx="0">
                  <c:v>2014</c:v>
                </c:pt>
                <c:pt idx="1">
                  <c:v>2015</c:v>
                </c:pt>
                <c:pt idx="2">
                  <c:v>2016</c:v>
                </c:pt>
                <c:pt idx="3">
                  <c:v>2017</c:v>
                </c:pt>
                <c:pt idx="4">
                  <c:v>2018</c:v>
                </c:pt>
                <c:pt idx="5">
                  <c:v>2019</c:v>
                </c:pt>
              </c:numCache>
            </c:numRef>
          </c:cat>
          <c:val>
            <c:numRef>
              <c:f>'Sources schémas'!$C$75:$H$75</c:f>
              <c:numCache>
                <c:formatCode>#,##0</c:formatCode>
                <c:ptCount val="6"/>
                <c:pt idx="0">
                  <c:v>0</c:v>
                </c:pt>
                <c:pt idx="1">
                  <c:v>0</c:v>
                </c:pt>
                <c:pt idx="2">
                  <c:v>0</c:v>
                </c:pt>
                <c:pt idx="3">
                  <c:v>0</c:v>
                </c:pt>
                <c:pt idx="4">
                  <c:v>0</c:v>
                </c:pt>
                <c:pt idx="5">
                  <c:v>0</c:v>
                </c:pt>
              </c:numCache>
            </c:numRef>
          </c:val>
        </c:ser>
        <c:ser>
          <c:idx val="1"/>
          <c:order val="1"/>
          <c:tx>
            <c:strRef>
              <c:f>'Sources schémas'!$B$76</c:f>
              <c:strCache>
                <c:ptCount val="1"/>
                <c:pt idx="0">
                  <c:v>Services d'aide à domicile 
Familles - Prestataire </c:v>
                </c:pt>
              </c:strCache>
            </c:strRef>
          </c:tx>
          <c:spPr>
            <a:solidFill>
              <a:srgbClr val="878543"/>
            </a:solidFill>
          </c:spPr>
          <c:invertIfNegative val="0"/>
          <c:cat>
            <c:numRef>
              <c:f>'Sources schémas'!$C$74:$H$74</c:f>
              <c:numCache>
                <c:formatCode>General</c:formatCode>
                <c:ptCount val="6"/>
                <c:pt idx="0">
                  <c:v>2014</c:v>
                </c:pt>
                <c:pt idx="1">
                  <c:v>2015</c:v>
                </c:pt>
                <c:pt idx="2">
                  <c:v>2016</c:v>
                </c:pt>
                <c:pt idx="3">
                  <c:v>2017</c:v>
                </c:pt>
                <c:pt idx="4">
                  <c:v>2018</c:v>
                </c:pt>
                <c:pt idx="5">
                  <c:v>2019</c:v>
                </c:pt>
              </c:numCache>
            </c:numRef>
          </c:cat>
          <c:val>
            <c:numRef>
              <c:f>'Sources schémas'!$C$76:$H$76</c:f>
              <c:numCache>
                <c:formatCode>#,##0</c:formatCode>
                <c:ptCount val="6"/>
                <c:pt idx="0">
                  <c:v>0</c:v>
                </c:pt>
                <c:pt idx="1">
                  <c:v>0</c:v>
                </c:pt>
                <c:pt idx="2">
                  <c:v>0</c:v>
                </c:pt>
                <c:pt idx="3">
                  <c:v>0</c:v>
                </c:pt>
                <c:pt idx="4">
                  <c:v>0</c:v>
                </c:pt>
                <c:pt idx="5">
                  <c:v>0</c:v>
                </c:pt>
              </c:numCache>
            </c:numRef>
          </c:val>
        </c:ser>
        <c:ser>
          <c:idx val="2"/>
          <c:order val="2"/>
          <c:tx>
            <c:strRef>
              <c:f>'Sources schémas'!$B$77</c:f>
              <c:strCache>
                <c:ptCount val="1"/>
                <c:pt idx="0">
                  <c:v>Services d'aide à domicile - Mandataire</c:v>
                </c:pt>
              </c:strCache>
            </c:strRef>
          </c:tx>
          <c:spPr>
            <a:solidFill>
              <a:srgbClr val="92D050"/>
            </a:solidFill>
          </c:spPr>
          <c:invertIfNegative val="0"/>
          <c:cat>
            <c:numRef>
              <c:f>'Sources schémas'!$C$74:$H$74</c:f>
              <c:numCache>
                <c:formatCode>General</c:formatCode>
                <c:ptCount val="6"/>
                <c:pt idx="0">
                  <c:v>2014</c:v>
                </c:pt>
                <c:pt idx="1">
                  <c:v>2015</c:v>
                </c:pt>
                <c:pt idx="2">
                  <c:v>2016</c:v>
                </c:pt>
                <c:pt idx="3">
                  <c:v>2017</c:v>
                </c:pt>
                <c:pt idx="4">
                  <c:v>2018</c:v>
                </c:pt>
                <c:pt idx="5">
                  <c:v>2019</c:v>
                </c:pt>
              </c:numCache>
            </c:numRef>
          </c:cat>
          <c:val>
            <c:numRef>
              <c:f>'Sources schémas'!$C$77:$H$77</c:f>
              <c:numCache>
                <c:formatCode>#,##0</c:formatCode>
                <c:ptCount val="6"/>
                <c:pt idx="0">
                  <c:v>0</c:v>
                </c:pt>
                <c:pt idx="1">
                  <c:v>0</c:v>
                </c:pt>
                <c:pt idx="2">
                  <c:v>0</c:v>
                </c:pt>
                <c:pt idx="3">
                  <c:v>0</c:v>
                </c:pt>
                <c:pt idx="4">
                  <c:v>0</c:v>
                </c:pt>
                <c:pt idx="5">
                  <c:v>0</c:v>
                </c:pt>
              </c:numCache>
            </c:numRef>
          </c:val>
        </c:ser>
        <c:ser>
          <c:idx val="3"/>
          <c:order val="3"/>
          <c:tx>
            <c:strRef>
              <c:f>'Sources schémas'!$B$78</c:f>
              <c:strCache>
                <c:ptCount val="1"/>
                <c:pt idx="0">
                  <c:v>Services à la personne -
Prestations de confort</c:v>
                </c:pt>
              </c:strCache>
            </c:strRef>
          </c:tx>
          <c:spPr>
            <a:solidFill>
              <a:srgbClr val="FFFF00"/>
            </a:solidFill>
          </c:spPr>
          <c:invertIfNegative val="0"/>
          <c:cat>
            <c:numRef>
              <c:f>'Sources schémas'!$C$74:$H$74</c:f>
              <c:numCache>
                <c:formatCode>General</c:formatCode>
                <c:ptCount val="6"/>
                <c:pt idx="0">
                  <c:v>2014</c:v>
                </c:pt>
                <c:pt idx="1">
                  <c:v>2015</c:v>
                </c:pt>
                <c:pt idx="2">
                  <c:v>2016</c:v>
                </c:pt>
                <c:pt idx="3">
                  <c:v>2017</c:v>
                </c:pt>
                <c:pt idx="4">
                  <c:v>2018</c:v>
                </c:pt>
                <c:pt idx="5">
                  <c:v>2019</c:v>
                </c:pt>
              </c:numCache>
            </c:numRef>
          </c:cat>
          <c:val>
            <c:numRef>
              <c:f>'Sources schémas'!$C$78:$H$78</c:f>
              <c:numCache>
                <c:formatCode>#,##0</c:formatCode>
                <c:ptCount val="6"/>
                <c:pt idx="0">
                  <c:v>0</c:v>
                </c:pt>
                <c:pt idx="1">
                  <c:v>0</c:v>
                </c:pt>
                <c:pt idx="2">
                  <c:v>0</c:v>
                </c:pt>
                <c:pt idx="3">
                  <c:v>0</c:v>
                </c:pt>
                <c:pt idx="4">
                  <c:v>0</c:v>
                </c:pt>
                <c:pt idx="5">
                  <c:v>0</c:v>
                </c:pt>
              </c:numCache>
            </c:numRef>
          </c:val>
        </c:ser>
        <c:ser>
          <c:idx val="4"/>
          <c:order val="4"/>
          <c:tx>
            <c:strRef>
              <c:f>'Sources schémas'!$B$79</c:f>
              <c:strCache>
                <c:ptCount val="1"/>
                <c:pt idx="0">
                  <c:v>Soins à domicile SSIAD</c:v>
                </c:pt>
              </c:strCache>
            </c:strRef>
          </c:tx>
          <c:spPr>
            <a:solidFill>
              <a:srgbClr val="0070C0"/>
            </a:solidFill>
          </c:spPr>
          <c:invertIfNegative val="0"/>
          <c:cat>
            <c:numRef>
              <c:f>'Sources schémas'!$C$74:$H$74</c:f>
              <c:numCache>
                <c:formatCode>General</c:formatCode>
                <c:ptCount val="6"/>
                <c:pt idx="0">
                  <c:v>2014</c:v>
                </c:pt>
                <c:pt idx="1">
                  <c:v>2015</c:v>
                </c:pt>
                <c:pt idx="2">
                  <c:v>2016</c:v>
                </c:pt>
                <c:pt idx="3">
                  <c:v>2017</c:v>
                </c:pt>
                <c:pt idx="4">
                  <c:v>2018</c:v>
                </c:pt>
                <c:pt idx="5">
                  <c:v>2019</c:v>
                </c:pt>
              </c:numCache>
            </c:numRef>
          </c:cat>
          <c:val>
            <c:numRef>
              <c:f>'Sources schémas'!$C$79:$H$79</c:f>
              <c:numCache>
                <c:formatCode>#,##0</c:formatCode>
                <c:ptCount val="6"/>
                <c:pt idx="0">
                  <c:v>0</c:v>
                </c:pt>
                <c:pt idx="1">
                  <c:v>0</c:v>
                </c:pt>
                <c:pt idx="2">
                  <c:v>0</c:v>
                </c:pt>
                <c:pt idx="3">
                  <c:v>0</c:v>
                </c:pt>
                <c:pt idx="4">
                  <c:v>0</c:v>
                </c:pt>
                <c:pt idx="5">
                  <c:v>0</c:v>
                </c:pt>
              </c:numCache>
            </c:numRef>
          </c:val>
        </c:ser>
        <c:ser>
          <c:idx val="5"/>
          <c:order val="5"/>
          <c:tx>
            <c:strRef>
              <c:f>'Sources schémas'!$B$80</c:f>
              <c:strCache>
                <c:ptCount val="1"/>
                <c:pt idx="0">
                  <c:v>Soins à domicile CSI</c:v>
                </c:pt>
              </c:strCache>
            </c:strRef>
          </c:tx>
          <c:spPr>
            <a:solidFill>
              <a:srgbClr val="00B0F0"/>
            </a:solidFill>
          </c:spPr>
          <c:invertIfNegative val="0"/>
          <c:cat>
            <c:numRef>
              <c:f>'Sources schémas'!$C$74:$H$74</c:f>
              <c:numCache>
                <c:formatCode>General</c:formatCode>
                <c:ptCount val="6"/>
                <c:pt idx="0">
                  <c:v>2014</c:v>
                </c:pt>
                <c:pt idx="1">
                  <c:v>2015</c:v>
                </c:pt>
                <c:pt idx="2">
                  <c:v>2016</c:v>
                </c:pt>
                <c:pt idx="3">
                  <c:v>2017</c:v>
                </c:pt>
                <c:pt idx="4">
                  <c:v>2018</c:v>
                </c:pt>
                <c:pt idx="5">
                  <c:v>2019</c:v>
                </c:pt>
              </c:numCache>
            </c:numRef>
          </c:cat>
          <c:val>
            <c:numRef>
              <c:f>'Sources schémas'!$C$80:$H$80</c:f>
              <c:numCache>
                <c:formatCode>#,##0</c:formatCode>
                <c:ptCount val="6"/>
                <c:pt idx="0">
                  <c:v>0</c:v>
                </c:pt>
                <c:pt idx="1">
                  <c:v>0</c:v>
                </c:pt>
                <c:pt idx="2">
                  <c:v>0</c:v>
                </c:pt>
                <c:pt idx="3">
                  <c:v>0</c:v>
                </c:pt>
                <c:pt idx="4">
                  <c:v>0</c:v>
                </c:pt>
                <c:pt idx="5">
                  <c:v>0</c:v>
                </c:pt>
              </c:numCache>
            </c:numRef>
          </c:val>
        </c:ser>
        <c:ser>
          <c:idx val="6"/>
          <c:order val="6"/>
          <c:tx>
            <c:strRef>
              <c:f>'Sources schémas'!$B$81</c:f>
              <c:strCache>
                <c:ptCount val="1"/>
                <c:pt idx="0">
                  <c:v>Autre</c:v>
                </c:pt>
              </c:strCache>
            </c:strRef>
          </c:tx>
          <c:spPr>
            <a:solidFill>
              <a:schemeClr val="bg1">
                <a:lumMod val="75000"/>
              </a:schemeClr>
            </a:solidFill>
          </c:spPr>
          <c:invertIfNegative val="0"/>
          <c:cat>
            <c:numRef>
              <c:f>'Sources schémas'!$C$74:$H$74</c:f>
              <c:numCache>
                <c:formatCode>General</c:formatCode>
                <c:ptCount val="6"/>
                <c:pt idx="0">
                  <c:v>2014</c:v>
                </c:pt>
                <c:pt idx="1">
                  <c:v>2015</c:v>
                </c:pt>
                <c:pt idx="2">
                  <c:v>2016</c:v>
                </c:pt>
                <c:pt idx="3">
                  <c:v>2017</c:v>
                </c:pt>
                <c:pt idx="4">
                  <c:v>2018</c:v>
                </c:pt>
                <c:pt idx="5">
                  <c:v>2019</c:v>
                </c:pt>
              </c:numCache>
            </c:numRef>
          </c:cat>
          <c:val>
            <c:numRef>
              <c:f>'Sources schémas'!$C$81:$H$81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shape val="box"/>
        <c:axId val="128328448"/>
        <c:axId val="128329984"/>
        <c:axId val="0"/>
      </c:bar3DChart>
      <c:catAx>
        <c:axId val="128328448"/>
        <c:scaling>
          <c:orientation val="minMax"/>
        </c:scaling>
        <c:delete val="0"/>
        <c:axPos val="b"/>
        <c:numFmt formatCode="General" sourceLinked="1"/>
        <c:majorTickMark val="out"/>
        <c:minorTickMark val="none"/>
        <c:tickLblPos val="nextTo"/>
        <c:txPr>
          <a:bodyPr/>
          <a:lstStyle/>
          <a:p>
            <a:pPr>
              <a:defRPr sz="1100" b="1"/>
            </a:pPr>
            <a:endParaRPr lang="fr-FR"/>
          </a:p>
        </c:txPr>
        <c:crossAx val="128329984"/>
        <c:crosses val="autoZero"/>
        <c:auto val="1"/>
        <c:lblAlgn val="ctr"/>
        <c:lblOffset val="100"/>
        <c:noMultiLvlLbl val="0"/>
      </c:catAx>
      <c:valAx>
        <c:axId val="128329984"/>
        <c:scaling>
          <c:orientation val="minMax"/>
        </c:scaling>
        <c:delete val="0"/>
        <c:axPos val="l"/>
        <c:majorGridlines/>
        <c:numFmt formatCode="0%" sourceLinked="1"/>
        <c:majorTickMark val="out"/>
        <c:minorTickMark val="none"/>
        <c:tickLblPos val="nextTo"/>
        <c:crossAx val="128328448"/>
        <c:crosses val="autoZero"/>
        <c:crossBetween val="between"/>
      </c:valAx>
    </c:plotArea>
    <c:legend>
      <c:legendPos val="b"/>
      <c:layout>
        <c:manualLayout>
          <c:xMode val="edge"/>
          <c:yMode val="edge"/>
          <c:x val="0.73885317109442405"/>
          <c:y val="4.0853860452129284E-2"/>
          <c:w val="0.24919176478432825"/>
          <c:h val="0.8934886893183055"/>
        </c:manualLayout>
      </c:layout>
      <c:overlay val="0"/>
      <c:spPr>
        <a:noFill/>
      </c:spPr>
      <c:txPr>
        <a:bodyPr/>
        <a:lstStyle/>
        <a:p>
          <a:pPr>
            <a:defRPr sz="1200" b="0">
              <a:latin typeface="Arial" pitchFamily="34" charset="0"/>
              <a:cs typeface="Arial" pitchFamily="34" charset="0"/>
            </a:defRPr>
          </a:pPr>
          <a:endParaRPr lang="fr-FR"/>
        </a:p>
      </c:txPr>
    </c:legend>
    <c:plotVisOnly val="1"/>
    <c:dispBlanksAs val="gap"/>
    <c:showDLblsOverMax val="0"/>
  </c:chart>
  <c:spPr>
    <a:solidFill>
      <a:schemeClr val="bg2"/>
    </a:solidFill>
  </c:spPr>
  <c:printSettings>
    <c:headerFooter/>
    <c:pageMargins b="0.750000000000003" l="0.70000000000000162" r="0.70000000000000162" t="0.75000000000000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percentStacked"/>
        <c:varyColors val="0"/>
        <c:ser>
          <c:idx val="0"/>
          <c:order val="0"/>
          <c:tx>
            <c:strRef>
              <c:f>'5.Analyse des effectifs'!$B$43</c:f>
              <c:strCache>
                <c:ptCount val="1"/>
                <c:pt idx="0">
                  <c:v>SAD- PA/PH - Prestataire</c:v>
                </c:pt>
              </c:strCache>
            </c:strRef>
          </c:tx>
          <c:spPr>
            <a:solidFill>
              <a:srgbClr val="00B050"/>
            </a:solidFill>
          </c:spPr>
          <c:invertIfNegative val="0"/>
          <c:cat>
            <c:numRef>
              <c:f>'5.Analyse des effectifs'!$C$42:$H$42</c:f>
              <c:numCache>
                <c:formatCode>General</c:formatCode>
                <c:ptCount val="6"/>
                <c:pt idx="0">
                  <c:v>2014</c:v>
                </c:pt>
                <c:pt idx="1">
                  <c:v>2015</c:v>
                </c:pt>
                <c:pt idx="2">
                  <c:v>2016</c:v>
                </c:pt>
                <c:pt idx="3">
                  <c:v>2017</c:v>
                </c:pt>
                <c:pt idx="4">
                  <c:v>2018</c:v>
                </c:pt>
                <c:pt idx="5">
                  <c:v>2019</c:v>
                </c:pt>
              </c:numCache>
            </c:numRef>
          </c:cat>
          <c:val>
            <c:numRef>
              <c:f>'5.Analyse des effectifs'!$C$43:$H$43</c:f>
              <c:numCache>
                <c:formatCode>0</c:formatCode>
                <c:ptCount val="6"/>
                <c:pt idx="0">
                  <c:v>0</c:v>
                </c:pt>
                <c:pt idx="1">
                  <c:v>0</c:v>
                </c:pt>
                <c:pt idx="2">
                  <c:v>0</c:v>
                </c:pt>
                <c:pt idx="3">
                  <c:v>0</c:v>
                </c:pt>
                <c:pt idx="4">
                  <c:v>0</c:v>
                </c:pt>
                <c:pt idx="5">
                  <c:v>0</c:v>
                </c:pt>
              </c:numCache>
            </c:numRef>
          </c:val>
        </c:ser>
        <c:ser>
          <c:idx val="1"/>
          <c:order val="1"/>
          <c:tx>
            <c:strRef>
              <c:f>'5.Analyse des effectifs'!$B$44</c:f>
              <c:strCache>
                <c:ptCount val="1"/>
                <c:pt idx="0">
                  <c:v>SAD - Familles - Prestataire</c:v>
                </c:pt>
              </c:strCache>
            </c:strRef>
          </c:tx>
          <c:spPr>
            <a:solidFill>
              <a:srgbClr val="878543"/>
            </a:solidFill>
          </c:spPr>
          <c:invertIfNegative val="0"/>
          <c:cat>
            <c:numRef>
              <c:f>'5.Analyse des effectifs'!$C$42:$H$42</c:f>
              <c:numCache>
                <c:formatCode>General</c:formatCode>
                <c:ptCount val="6"/>
                <c:pt idx="0">
                  <c:v>2014</c:v>
                </c:pt>
                <c:pt idx="1">
                  <c:v>2015</c:v>
                </c:pt>
                <c:pt idx="2">
                  <c:v>2016</c:v>
                </c:pt>
                <c:pt idx="3">
                  <c:v>2017</c:v>
                </c:pt>
                <c:pt idx="4">
                  <c:v>2018</c:v>
                </c:pt>
                <c:pt idx="5">
                  <c:v>2019</c:v>
                </c:pt>
              </c:numCache>
            </c:numRef>
          </c:cat>
          <c:val>
            <c:numRef>
              <c:f>'5.Analyse des effectifs'!$C$44:$H$44</c:f>
              <c:numCache>
                <c:formatCode>0</c:formatCode>
                <c:ptCount val="6"/>
                <c:pt idx="0">
                  <c:v>0</c:v>
                </c:pt>
                <c:pt idx="1">
                  <c:v>0</c:v>
                </c:pt>
                <c:pt idx="2">
                  <c:v>0</c:v>
                </c:pt>
                <c:pt idx="3">
                  <c:v>0</c:v>
                </c:pt>
                <c:pt idx="4">
                  <c:v>0</c:v>
                </c:pt>
                <c:pt idx="5">
                  <c:v>0</c:v>
                </c:pt>
              </c:numCache>
            </c:numRef>
          </c:val>
        </c:ser>
        <c:ser>
          <c:idx val="2"/>
          <c:order val="2"/>
          <c:tx>
            <c:strRef>
              <c:f>'5.Analyse des effectifs'!$B$45</c:f>
              <c:strCache>
                <c:ptCount val="1"/>
                <c:pt idx="0">
                  <c:v>SAD - Mandataire</c:v>
                </c:pt>
              </c:strCache>
            </c:strRef>
          </c:tx>
          <c:spPr>
            <a:solidFill>
              <a:srgbClr val="92D050"/>
            </a:solidFill>
          </c:spPr>
          <c:invertIfNegative val="0"/>
          <c:cat>
            <c:numRef>
              <c:f>'5.Analyse des effectifs'!$C$42:$H$42</c:f>
              <c:numCache>
                <c:formatCode>General</c:formatCode>
                <c:ptCount val="6"/>
                <c:pt idx="0">
                  <c:v>2014</c:v>
                </c:pt>
                <c:pt idx="1">
                  <c:v>2015</c:v>
                </c:pt>
                <c:pt idx="2">
                  <c:v>2016</c:v>
                </c:pt>
                <c:pt idx="3">
                  <c:v>2017</c:v>
                </c:pt>
                <c:pt idx="4">
                  <c:v>2018</c:v>
                </c:pt>
                <c:pt idx="5">
                  <c:v>2019</c:v>
                </c:pt>
              </c:numCache>
            </c:numRef>
          </c:cat>
          <c:val>
            <c:numRef>
              <c:f>'5.Analyse des effectifs'!$C$45:$H$45</c:f>
              <c:numCache>
                <c:formatCode>0</c:formatCode>
                <c:ptCount val="6"/>
                <c:pt idx="0">
                  <c:v>0</c:v>
                </c:pt>
                <c:pt idx="1">
                  <c:v>0</c:v>
                </c:pt>
                <c:pt idx="2">
                  <c:v>0</c:v>
                </c:pt>
                <c:pt idx="3">
                  <c:v>0</c:v>
                </c:pt>
                <c:pt idx="4">
                  <c:v>0</c:v>
                </c:pt>
                <c:pt idx="5">
                  <c:v>0</c:v>
                </c:pt>
              </c:numCache>
            </c:numRef>
          </c:val>
        </c:ser>
        <c:ser>
          <c:idx val="3"/>
          <c:order val="3"/>
          <c:tx>
            <c:strRef>
              <c:f>'5.Analyse des effectifs'!$B$46</c:f>
              <c:strCache>
                <c:ptCount val="1"/>
                <c:pt idx="0">
                  <c:v>SAP - Prestations de confort</c:v>
                </c:pt>
              </c:strCache>
            </c:strRef>
          </c:tx>
          <c:spPr>
            <a:solidFill>
              <a:srgbClr val="FFFF00"/>
            </a:solidFill>
          </c:spPr>
          <c:invertIfNegative val="0"/>
          <c:cat>
            <c:numRef>
              <c:f>'5.Analyse des effectifs'!$C$42:$H$42</c:f>
              <c:numCache>
                <c:formatCode>General</c:formatCode>
                <c:ptCount val="6"/>
                <c:pt idx="0">
                  <c:v>2014</c:v>
                </c:pt>
                <c:pt idx="1">
                  <c:v>2015</c:v>
                </c:pt>
                <c:pt idx="2">
                  <c:v>2016</c:v>
                </c:pt>
                <c:pt idx="3">
                  <c:v>2017</c:v>
                </c:pt>
                <c:pt idx="4">
                  <c:v>2018</c:v>
                </c:pt>
                <c:pt idx="5">
                  <c:v>2019</c:v>
                </c:pt>
              </c:numCache>
            </c:numRef>
          </c:cat>
          <c:val>
            <c:numRef>
              <c:f>'5.Analyse des effectifs'!$C$46:$H$46</c:f>
              <c:numCache>
                <c:formatCode>0</c:formatCode>
                <c:ptCount val="6"/>
                <c:pt idx="0">
                  <c:v>0</c:v>
                </c:pt>
                <c:pt idx="1">
                  <c:v>0</c:v>
                </c:pt>
                <c:pt idx="2">
                  <c:v>0</c:v>
                </c:pt>
                <c:pt idx="3">
                  <c:v>0</c:v>
                </c:pt>
                <c:pt idx="4">
                  <c:v>0</c:v>
                </c:pt>
                <c:pt idx="5">
                  <c:v>0</c:v>
                </c:pt>
              </c:numCache>
            </c:numRef>
          </c:val>
        </c:ser>
        <c:ser>
          <c:idx val="4"/>
          <c:order val="4"/>
          <c:tx>
            <c:strRef>
              <c:f>'5.Analyse des effectifs'!$B$47</c:f>
              <c:strCache>
                <c:ptCount val="1"/>
                <c:pt idx="0">
                  <c:v>Soins à domicile - SSIAD</c:v>
                </c:pt>
              </c:strCache>
            </c:strRef>
          </c:tx>
          <c:spPr>
            <a:solidFill>
              <a:srgbClr val="0070C0"/>
            </a:solidFill>
          </c:spPr>
          <c:invertIfNegative val="0"/>
          <c:cat>
            <c:numRef>
              <c:f>'5.Analyse des effectifs'!$C$42:$H$42</c:f>
              <c:numCache>
                <c:formatCode>General</c:formatCode>
                <c:ptCount val="6"/>
                <c:pt idx="0">
                  <c:v>2014</c:v>
                </c:pt>
                <c:pt idx="1">
                  <c:v>2015</c:v>
                </c:pt>
                <c:pt idx="2">
                  <c:v>2016</c:v>
                </c:pt>
                <c:pt idx="3">
                  <c:v>2017</c:v>
                </c:pt>
                <c:pt idx="4">
                  <c:v>2018</c:v>
                </c:pt>
                <c:pt idx="5">
                  <c:v>2019</c:v>
                </c:pt>
              </c:numCache>
            </c:numRef>
          </c:cat>
          <c:val>
            <c:numRef>
              <c:f>'5.Analyse des effectifs'!$C$47:$H$47</c:f>
              <c:numCache>
                <c:formatCode>0</c:formatCode>
                <c:ptCount val="6"/>
                <c:pt idx="0">
                  <c:v>0</c:v>
                </c:pt>
                <c:pt idx="1">
                  <c:v>0</c:v>
                </c:pt>
                <c:pt idx="2">
                  <c:v>0</c:v>
                </c:pt>
                <c:pt idx="3">
                  <c:v>0</c:v>
                </c:pt>
                <c:pt idx="4">
                  <c:v>0</c:v>
                </c:pt>
                <c:pt idx="5">
                  <c:v>0</c:v>
                </c:pt>
              </c:numCache>
            </c:numRef>
          </c:val>
        </c:ser>
        <c:ser>
          <c:idx val="5"/>
          <c:order val="5"/>
          <c:tx>
            <c:strRef>
              <c:f>'5.Analyse des effectifs'!$B$48</c:f>
              <c:strCache>
                <c:ptCount val="1"/>
                <c:pt idx="0">
                  <c:v>Soins à domicile - CSI</c:v>
                </c:pt>
              </c:strCache>
            </c:strRef>
          </c:tx>
          <c:spPr>
            <a:solidFill>
              <a:srgbClr val="00B0F0"/>
            </a:solidFill>
          </c:spPr>
          <c:invertIfNegative val="0"/>
          <c:cat>
            <c:numRef>
              <c:f>'5.Analyse des effectifs'!$C$42:$H$42</c:f>
              <c:numCache>
                <c:formatCode>General</c:formatCode>
                <c:ptCount val="6"/>
                <c:pt idx="0">
                  <c:v>2014</c:v>
                </c:pt>
                <c:pt idx="1">
                  <c:v>2015</c:v>
                </c:pt>
                <c:pt idx="2">
                  <c:v>2016</c:v>
                </c:pt>
                <c:pt idx="3">
                  <c:v>2017</c:v>
                </c:pt>
                <c:pt idx="4">
                  <c:v>2018</c:v>
                </c:pt>
                <c:pt idx="5">
                  <c:v>2019</c:v>
                </c:pt>
              </c:numCache>
            </c:numRef>
          </c:cat>
          <c:val>
            <c:numRef>
              <c:f>'5.Analyse des effectifs'!$C$48:$H$48</c:f>
              <c:numCache>
                <c:formatCode>0</c:formatCode>
                <c:ptCount val="6"/>
                <c:pt idx="0">
                  <c:v>0</c:v>
                </c:pt>
                <c:pt idx="1">
                  <c:v>0</c:v>
                </c:pt>
                <c:pt idx="2">
                  <c:v>0</c:v>
                </c:pt>
                <c:pt idx="3">
                  <c:v>0</c:v>
                </c:pt>
                <c:pt idx="4">
                  <c:v>0</c:v>
                </c:pt>
                <c:pt idx="5">
                  <c:v>0</c:v>
                </c:pt>
              </c:numCache>
            </c:numRef>
          </c:val>
        </c:ser>
        <c:ser>
          <c:idx val="6"/>
          <c:order val="6"/>
          <c:tx>
            <c:strRef>
              <c:f>'5.Analyse des effectifs'!$B$49</c:f>
              <c:strCache>
                <c:ptCount val="1"/>
                <c:pt idx="0">
                  <c:v>Autre</c:v>
                </c:pt>
              </c:strCache>
            </c:strRef>
          </c:tx>
          <c:spPr>
            <a:solidFill>
              <a:schemeClr val="bg1">
                <a:lumMod val="75000"/>
              </a:schemeClr>
            </a:solidFill>
          </c:spPr>
          <c:invertIfNegative val="0"/>
          <c:cat>
            <c:numRef>
              <c:f>'5.Analyse des effectifs'!$C$42:$H$42</c:f>
              <c:numCache>
                <c:formatCode>General</c:formatCode>
                <c:ptCount val="6"/>
                <c:pt idx="0">
                  <c:v>2014</c:v>
                </c:pt>
                <c:pt idx="1">
                  <c:v>2015</c:v>
                </c:pt>
                <c:pt idx="2">
                  <c:v>2016</c:v>
                </c:pt>
                <c:pt idx="3">
                  <c:v>2017</c:v>
                </c:pt>
                <c:pt idx="4">
                  <c:v>2018</c:v>
                </c:pt>
                <c:pt idx="5">
                  <c:v>2019</c:v>
                </c:pt>
              </c:numCache>
            </c:numRef>
          </c:cat>
          <c:val>
            <c:numRef>
              <c:f>'5.Analyse des effectifs'!$C$49:$H$49</c:f>
              <c:numCache>
                <c:formatCode>0</c:formatCode>
                <c:ptCount val="6"/>
                <c:pt idx="0">
                  <c:v>0</c:v>
                </c:pt>
                <c:pt idx="1">
                  <c:v>0</c:v>
                </c:pt>
                <c:pt idx="2">
                  <c:v>0</c:v>
                </c:pt>
                <c:pt idx="3">
                  <c:v>0</c:v>
                </c:pt>
                <c:pt idx="4">
                  <c:v>0</c:v>
                </c:pt>
                <c:pt idx="5">
                  <c:v>0</c:v>
                </c:pt>
              </c:numCache>
            </c:numRef>
          </c:val>
        </c:ser>
        <c:ser>
          <c:idx val="7"/>
          <c:order val="7"/>
          <c:tx>
            <c:strRef>
              <c:f>'5.Analyse des effectifs'!$B$50</c:f>
              <c:strCache>
                <c:ptCount val="1"/>
                <c:pt idx="0">
                  <c:v>Administratifs</c:v>
                </c:pt>
              </c:strCache>
            </c:strRef>
          </c:tx>
          <c:spPr>
            <a:solidFill>
              <a:schemeClr val="tx1">
                <a:lumMod val="65000"/>
                <a:lumOff val="35000"/>
              </a:schemeClr>
            </a:solidFill>
          </c:spPr>
          <c:invertIfNegative val="0"/>
          <c:cat>
            <c:numRef>
              <c:f>'5.Analyse des effectifs'!$C$42:$H$42</c:f>
              <c:numCache>
                <c:formatCode>General</c:formatCode>
                <c:ptCount val="6"/>
                <c:pt idx="0">
                  <c:v>2014</c:v>
                </c:pt>
                <c:pt idx="1">
                  <c:v>2015</c:v>
                </c:pt>
                <c:pt idx="2">
                  <c:v>2016</c:v>
                </c:pt>
                <c:pt idx="3">
                  <c:v>2017</c:v>
                </c:pt>
                <c:pt idx="4">
                  <c:v>2018</c:v>
                </c:pt>
                <c:pt idx="5">
                  <c:v>2019</c:v>
                </c:pt>
              </c:numCache>
            </c:numRef>
          </c:cat>
          <c:val>
            <c:numRef>
              <c:f>'5.Analyse des effectifs'!$C$50:$H$50</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shape val="box"/>
        <c:axId val="98073600"/>
        <c:axId val="98087680"/>
        <c:axId val="0"/>
      </c:bar3DChart>
      <c:catAx>
        <c:axId val="98073600"/>
        <c:scaling>
          <c:orientation val="minMax"/>
        </c:scaling>
        <c:delete val="0"/>
        <c:axPos val="b"/>
        <c:numFmt formatCode="General" sourceLinked="1"/>
        <c:majorTickMark val="out"/>
        <c:minorTickMark val="none"/>
        <c:tickLblPos val="nextTo"/>
        <c:txPr>
          <a:bodyPr/>
          <a:lstStyle/>
          <a:p>
            <a:pPr>
              <a:defRPr sz="1100" b="1"/>
            </a:pPr>
            <a:endParaRPr lang="fr-FR"/>
          </a:p>
        </c:txPr>
        <c:crossAx val="98087680"/>
        <c:crosses val="autoZero"/>
        <c:auto val="1"/>
        <c:lblAlgn val="ctr"/>
        <c:lblOffset val="100"/>
        <c:noMultiLvlLbl val="0"/>
      </c:catAx>
      <c:valAx>
        <c:axId val="98087680"/>
        <c:scaling>
          <c:orientation val="minMax"/>
        </c:scaling>
        <c:delete val="0"/>
        <c:axPos val="l"/>
        <c:majorGridlines/>
        <c:numFmt formatCode="0%" sourceLinked="1"/>
        <c:majorTickMark val="out"/>
        <c:minorTickMark val="none"/>
        <c:tickLblPos val="nextTo"/>
        <c:crossAx val="98073600"/>
        <c:crosses val="autoZero"/>
        <c:crossBetween val="between"/>
      </c:valAx>
    </c:plotArea>
    <c:legend>
      <c:legendPos val="r"/>
      <c:overlay val="0"/>
      <c:spPr>
        <a:solidFill>
          <a:sysClr val="window" lastClr="FFFFFF"/>
        </a:solidFill>
      </c:spPr>
      <c:txPr>
        <a:bodyPr/>
        <a:lstStyle/>
        <a:p>
          <a:pPr>
            <a:defRPr b="0"/>
          </a:pPr>
          <a:endParaRPr lang="fr-FR"/>
        </a:p>
      </c:txPr>
    </c:legend>
    <c:plotVisOnly val="1"/>
    <c:dispBlanksAs val="gap"/>
    <c:showDLblsOverMax val="0"/>
  </c:chart>
  <c:spPr>
    <a:solidFill>
      <a:schemeClr val="bg2"/>
    </a:solidFill>
  </c:spPr>
  <c:printSettings>
    <c:headerFooter/>
    <c:pageMargins b="0.750000000000003" l="0.70000000000000162" r="0.70000000000000162" t="0.75000000000000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2654872409583"/>
          <c:y val="9.593042660712181E-2"/>
          <c:w val="0.63468286851993105"/>
          <c:h val="0.81061014318444602"/>
        </c:manualLayout>
      </c:layout>
      <c:lineChart>
        <c:grouping val="standard"/>
        <c:varyColors val="0"/>
        <c:ser>
          <c:idx val="0"/>
          <c:order val="0"/>
          <c:tx>
            <c:strRef>
              <c:f>'Sources schémas'!$B$16</c:f>
              <c:strCache>
                <c:ptCount val="1"/>
                <c:pt idx="0">
                  <c:v>Fonds Propres</c:v>
                </c:pt>
              </c:strCache>
            </c:strRef>
          </c:tx>
          <c:spPr>
            <a:ln>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dPt>
            <c:idx val="1"/>
            <c:bubble3D val="0"/>
            <c:spPr>
              <a:ln>
                <a:solidFill>
                  <a:schemeClr val="accent6">
                    <a:lumMod val="75000"/>
                  </a:schemeClr>
                </a:solidFill>
              </a:ln>
            </c:spPr>
          </c:dPt>
          <c:dPt>
            <c:idx val="2"/>
            <c:bubble3D val="0"/>
            <c:spPr>
              <a:ln w="41275">
                <a:solidFill>
                  <a:schemeClr val="accent6">
                    <a:lumMod val="75000"/>
                  </a:schemeClr>
                </a:solidFill>
              </a:ln>
            </c:spPr>
          </c:dPt>
          <c:cat>
            <c:numRef>
              <c:f>'Sources schémas'!$C$15:$H$15</c:f>
              <c:numCache>
                <c:formatCode>General</c:formatCode>
                <c:ptCount val="6"/>
                <c:pt idx="0">
                  <c:v>2014</c:v>
                </c:pt>
                <c:pt idx="1">
                  <c:v>2015</c:v>
                </c:pt>
                <c:pt idx="2" formatCode="0">
                  <c:v>2016</c:v>
                </c:pt>
                <c:pt idx="3" formatCode="0">
                  <c:v>2017</c:v>
                </c:pt>
                <c:pt idx="4" formatCode="0">
                  <c:v>2018</c:v>
                </c:pt>
                <c:pt idx="5" formatCode="0">
                  <c:v>2019</c:v>
                </c:pt>
              </c:numCache>
            </c:numRef>
          </c:cat>
          <c:val>
            <c:numRef>
              <c:f>'Sources schémas'!$C$16:$H$16</c:f>
              <c:numCache>
                <c:formatCode>#,##0</c:formatCode>
                <c:ptCount val="6"/>
                <c:pt idx="0">
                  <c:v>0</c:v>
                </c:pt>
                <c:pt idx="1">
                  <c:v>0</c:v>
                </c:pt>
                <c:pt idx="2">
                  <c:v>0</c:v>
                </c:pt>
                <c:pt idx="3">
                  <c:v>0</c:v>
                </c:pt>
                <c:pt idx="4">
                  <c:v>0</c:v>
                </c:pt>
                <c:pt idx="5">
                  <c:v>0</c:v>
                </c:pt>
              </c:numCache>
            </c:numRef>
          </c:val>
          <c:smooth val="0"/>
        </c:ser>
        <c:ser>
          <c:idx val="1"/>
          <c:order val="1"/>
          <c:tx>
            <c:strRef>
              <c:f>'Sources schémas'!$B$17</c:f>
              <c:strCache>
                <c:ptCount val="1"/>
                <c:pt idx="0">
                  <c:v>Fond de Roulement</c:v>
                </c:pt>
              </c:strCache>
            </c:strRef>
          </c:tx>
          <c:spPr>
            <a:ln w="41275">
              <a:solidFill>
                <a:srgbClr val="92D050"/>
              </a:solidFill>
            </a:ln>
          </c:spPr>
          <c:marker>
            <c:symbol val="circle"/>
            <c:size val="7"/>
            <c:spPr>
              <a:solidFill>
                <a:srgbClr val="92D050"/>
              </a:solidFill>
              <a:ln>
                <a:solidFill>
                  <a:srgbClr val="92D050"/>
                </a:solidFill>
              </a:ln>
            </c:spPr>
          </c:marker>
          <c:cat>
            <c:numRef>
              <c:f>'Sources schémas'!$C$15:$H$15</c:f>
              <c:numCache>
                <c:formatCode>General</c:formatCode>
                <c:ptCount val="6"/>
                <c:pt idx="0">
                  <c:v>2014</c:v>
                </c:pt>
                <c:pt idx="1">
                  <c:v>2015</c:v>
                </c:pt>
                <c:pt idx="2" formatCode="0">
                  <c:v>2016</c:v>
                </c:pt>
                <c:pt idx="3" formatCode="0">
                  <c:v>2017</c:v>
                </c:pt>
                <c:pt idx="4" formatCode="0">
                  <c:v>2018</c:v>
                </c:pt>
                <c:pt idx="5" formatCode="0">
                  <c:v>2019</c:v>
                </c:pt>
              </c:numCache>
            </c:numRef>
          </c:cat>
          <c:val>
            <c:numRef>
              <c:f>'Sources schémas'!$C$17:$H$17</c:f>
              <c:numCache>
                <c:formatCode>#,##0</c:formatCode>
                <c:ptCount val="6"/>
                <c:pt idx="0">
                  <c:v>0</c:v>
                </c:pt>
                <c:pt idx="1">
                  <c:v>0</c:v>
                </c:pt>
                <c:pt idx="2">
                  <c:v>0</c:v>
                </c:pt>
                <c:pt idx="3">
                  <c:v>0</c:v>
                </c:pt>
                <c:pt idx="4">
                  <c:v>0</c:v>
                </c:pt>
                <c:pt idx="5">
                  <c:v>0</c:v>
                </c:pt>
              </c:numCache>
            </c:numRef>
          </c:val>
          <c:smooth val="0"/>
        </c:ser>
        <c:ser>
          <c:idx val="2"/>
          <c:order val="2"/>
          <c:tx>
            <c:strRef>
              <c:f>'Sources schémas'!$B$18</c:f>
              <c:strCache>
                <c:ptCount val="1"/>
                <c:pt idx="0">
                  <c:v>Besoin en Fond de Roulement</c:v>
                </c:pt>
              </c:strCache>
            </c:strRef>
          </c:tx>
          <c:spPr>
            <a:ln w="41275">
              <a:solidFill>
                <a:srgbClr val="00B050"/>
              </a:solidFill>
            </a:ln>
          </c:spPr>
          <c:marker>
            <c:symbol val="circle"/>
            <c:size val="7"/>
            <c:spPr>
              <a:solidFill>
                <a:srgbClr val="00B050"/>
              </a:solidFill>
              <a:ln>
                <a:solidFill>
                  <a:srgbClr val="00B050"/>
                </a:solidFill>
              </a:ln>
            </c:spPr>
          </c:marker>
          <c:cat>
            <c:numRef>
              <c:f>'Sources schémas'!$C$15:$H$15</c:f>
              <c:numCache>
                <c:formatCode>General</c:formatCode>
                <c:ptCount val="6"/>
                <c:pt idx="0">
                  <c:v>2014</c:v>
                </c:pt>
                <c:pt idx="1">
                  <c:v>2015</c:v>
                </c:pt>
                <c:pt idx="2" formatCode="0">
                  <c:v>2016</c:v>
                </c:pt>
                <c:pt idx="3" formatCode="0">
                  <c:v>2017</c:v>
                </c:pt>
                <c:pt idx="4" formatCode="0">
                  <c:v>2018</c:v>
                </c:pt>
                <c:pt idx="5" formatCode="0">
                  <c:v>2019</c:v>
                </c:pt>
              </c:numCache>
            </c:numRef>
          </c:cat>
          <c:val>
            <c:numRef>
              <c:f>'Sources schémas'!$C$18:$H$18</c:f>
              <c:numCache>
                <c:formatCode>#,##0</c:formatCode>
                <c:ptCount val="6"/>
                <c:pt idx="0">
                  <c:v>0</c:v>
                </c:pt>
                <c:pt idx="1">
                  <c:v>0</c:v>
                </c:pt>
                <c:pt idx="2">
                  <c:v>0</c:v>
                </c:pt>
                <c:pt idx="3">
                  <c:v>0</c:v>
                </c:pt>
                <c:pt idx="4">
                  <c:v>0</c:v>
                </c:pt>
                <c:pt idx="5">
                  <c:v>0</c:v>
                </c:pt>
              </c:numCache>
            </c:numRef>
          </c:val>
          <c:smooth val="0"/>
        </c:ser>
        <c:ser>
          <c:idx val="3"/>
          <c:order val="3"/>
          <c:tx>
            <c:strRef>
              <c:f>'Sources schémas'!$B$19</c:f>
              <c:strCache>
                <c:ptCount val="1"/>
                <c:pt idx="0">
                  <c:v>Trésorerie Nette</c:v>
                </c:pt>
              </c:strCache>
            </c:strRef>
          </c:tx>
          <c:spPr>
            <a:ln w="41275">
              <a:solidFill>
                <a:schemeClr val="bg2">
                  <a:lumMod val="50000"/>
                </a:schemeClr>
              </a:solidFill>
            </a:ln>
          </c:spPr>
          <c:marker>
            <c:symbol val="circle"/>
            <c:size val="9"/>
            <c:spPr>
              <a:solidFill>
                <a:schemeClr val="bg2">
                  <a:lumMod val="50000"/>
                </a:schemeClr>
              </a:solidFill>
              <a:ln>
                <a:solidFill>
                  <a:schemeClr val="bg2">
                    <a:lumMod val="50000"/>
                  </a:schemeClr>
                </a:solidFill>
              </a:ln>
            </c:spPr>
          </c:marker>
          <c:cat>
            <c:numRef>
              <c:f>'Sources schémas'!$C$15:$H$15</c:f>
              <c:numCache>
                <c:formatCode>General</c:formatCode>
                <c:ptCount val="6"/>
                <c:pt idx="0">
                  <c:v>2014</c:v>
                </c:pt>
                <c:pt idx="1">
                  <c:v>2015</c:v>
                </c:pt>
                <c:pt idx="2" formatCode="0">
                  <c:v>2016</c:v>
                </c:pt>
                <c:pt idx="3" formatCode="0">
                  <c:v>2017</c:v>
                </c:pt>
                <c:pt idx="4" formatCode="0">
                  <c:v>2018</c:v>
                </c:pt>
                <c:pt idx="5" formatCode="0">
                  <c:v>2019</c:v>
                </c:pt>
              </c:numCache>
            </c:numRef>
          </c:cat>
          <c:val>
            <c:numRef>
              <c:f>'Sources schémas'!$C$19:$H$19</c:f>
              <c:numCache>
                <c:formatCode>#,##0</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97195136"/>
        <c:axId val="97196672"/>
      </c:lineChart>
      <c:catAx>
        <c:axId val="97195136"/>
        <c:scaling>
          <c:orientation val="minMax"/>
        </c:scaling>
        <c:delete val="0"/>
        <c:axPos val="b"/>
        <c:numFmt formatCode="General" sourceLinked="1"/>
        <c:majorTickMark val="out"/>
        <c:minorTickMark val="none"/>
        <c:tickLblPos val="low"/>
        <c:txPr>
          <a:bodyPr/>
          <a:lstStyle/>
          <a:p>
            <a:pPr>
              <a:defRPr sz="1200" b="1"/>
            </a:pPr>
            <a:endParaRPr lang="fr-FR"/>
          </a:p>
        </c:txPr>
        <c:crossAx val="97196672"/>
        <c:crossesAt val="0"/>
        <c:auto val="1"/>
        <c:lblAlgn val="ctr"/>
        <c:lblOffset val="100"/>
        <c:noMultiLvlLbl val="0"/>
      </c:catAx>
      <c:valAx>
        <c:axId val="97196672"/>
        <c:scaling>
          <c:orientation val="minMax"/>
        </c:scaling>
        <c:delete val="0"/>
        <c:axPos val="l"/>
        <c:majorGridlines/>
        <c:numFmt formatCode="#,##0" sourceLinked="1"/>
        <c:majorTickMark val="out"/>
        <c:minorTickMark val="none"/>
        <c:tickLblPos val="nextTo"/>
        <c:crossAx val="97195136"/>
        <c:crossesAt val="1"/>
        <c:crossBetween val="between"/>
      </c:valAx>
    </c:plotArea>
    <c:legend>
      <c:legendPos val="r"/>
      <c:layout>
        <c:manualLayout>
          <c:xMode val="edge"/>
          <c:yMode val="edge"/>
          <c:x val="0.77740951738420272"/>
          <c:y val="0.13058936835007934"/>
          <c:w val="0.22259048261579895"/>
          <c:h val="0.71777936400169773"/>
        </c:manualLayout>
      </c:layout>
      <c:overlay val="0"/>
      <c:txPr>
        <a:bodyPr/>
        <a:lstStyle/>
        <a:p>
          <a:pPr>
            <a:defRPr sz="1100" b="1"/>
          </a:pPr>
          <a:endParaRPr lang="fr-FR"/>
        </a:p>
      </c:txPr>
    </c:legend>
    <c:plotVisOnly val="1"/>
    <c:dispBlanksAs val="zero"/>
    <c:showDLblsOverMax val="0"/>
  </c:chart>
  <c:spPr>
    <a:solidFill>
      <a:schemeClr val="bg2"/>
    </a:solidFill>
  </c:spPr>
  <c:printSettings>
    <c:headerFooter/>
    <c:pageMargins b="0.750000000000004" l="0.70000000000000162" r="0.70000000000000162" t="0.75000000000000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3978304311454604"/>
          <c:y val="0.15269018386450292"/>
          <c:w val="0.79666394511346428"/>
          <c:h val="0.74529641471677277"/>
        </c:manualLayout>
      </c:layout>
      <c:barChart>
        <c:barDir val="col"/>
        <c:grouping val="clustered"/>
        <c:varyColors val="0"/>
        <c:ser>
          <c:idx val="0"/>
          <c:order val="0"/>
          <c:tx>
            <c:strRef>
              <c:f>'Sources schémas'!$B$24</c:f>
              <c:strCache>
                <c:ptCount val="1"/>
                <c:pt idx="0">
                  <c:v>Produits d'exploitation</c:v>
                </c:pt>
              </c:strCache>
            </c:strRef>
          </c:tx>
          <c:spPr>
            <a:solidFill>
              <a:schemeClr val="bg1">
                <a:lumMod val="50000"/>
              </a:schemeClr>
            </a:solidFill>
            <a:ln>
              <a:solidFill>
                <a:schemeClr val="bg1">
                  <a:lumMod val="65000"/>
                </a:schemeClr>
              </a:solidFill>
            </a:ln>
          </c:spPr>
          <c:invertIfNegative val="0"/>
          <c:dLbls>
            <c:spPr>
              <a:noFill/>
              <a:ln w="25400">
                <a:noFill/>
              </a:ln>
            </c:spPr>
            <c:txPr>
              <a:bodyPr/>
              <a:lstStyle/>
              <a:p>
                <a:pPr>
                  <a:defRPr sz="1050" b="1" i="0" u="none" strike="noStrike" baseline="0">
                    <a:solidFill>
                      <a:schemeClr val="tx1">
                        <a:lumMod val="75000"/>
                        <a:lumOff val="25000"/>
                      </a:schemeClr>
                    </a:solidFill>
                    <a:latin typeface="Arial" pitchFamily="34" charset="0"/>
                    <a:ea typeface="Calibri"/>
                    <a:cs typeface="Arial" pitchFamily="34" charset="0"/>
                  </a:defRPr>
                </a:pPr>
                <a:endParaRPr lang="fr-FR"/>
              </a:p>
            </c:txPr>
            <c:dLblPos val="outEnd"/>
            <c:showLegendKey val="0"/>
            <c:showVal val="1"/>
            <c:showCatName val="0"/>
            <c:showSerName val="0"/>
            <c:showPercent val="0"/>
            <c:showBubbleSize val="0"/>
            <c:showLeaderLines val="0"/>
          </c:dLbls>
          <c:cat>
            <c:numRef>
              <c:f>'Sources schémas'!$C$23:$H$23</c:f>
              <c:numCache>
                <c:formatCode>General</c:formatCode>
                <c:ptCount val="6"/>
                <c:pt idx="0">
                  <c:v>2014</c:v>
                </c:pt>
                <c:pt idx="1">
                  <c:v>2015</c:v>
                </c:pt>
                <c:pt idx="2">
                  <c:v>2016</c:v>
                </c:pt>
                <c:pt idx="3">
                  <c:v>2017</c:v>
                </c:pt>
                <c:pt idx="4">
                  <c:v>2018</c:v>
                </c:pt>
                <c:pt idx="5">
                  <c:v>2019</c:v>
                </c:pt>
              </c:numCache>
            </c:numRef>
          </c:cat>
          <c:val>
            <c:numRef>
              <c:f>'Sources schémas'!$C$24:$H$24</c:f>
              <c:numCache>
                <c:formatCode>#,##0</c:formatCode>
                <c:ptCount val="6"/>
                <c:pt idx="0">
                  <c:v>0</c:v>
                </c:pt>
                <c:pt idx="1">
                  <c:v>0</c:v>
                </c:pt>
                <c:pt idx="2">
                  <c:v>0</c:v>
                </c:pt>
                <c:pt idx="3">
                  <c:v>0</c:v>
                </c:pt>
                <c:pt idx="4">
                  <c:v>0</c:v>
                </c:pt>
                <c:pt idx="5">
                  <c:v>0</c:v>
                </c:pt>
              </c:numCache>
            </c:numRef>
          </c:val>
        </c:ser>
        <c:dLbls>
          <c:showLegendKey val="0"/>
          <c:showVal val="1"/>
          <c:showCatName val="0"/>
          <c:showSerName val="0"/>
          <c:showPercent val="0"/>
          <c:showBubbleSize val="0"/>
        </c:dLbls>
        <c:gapWidth val="150"/>
        <c:axId val="96928128"/>
        <c:axId val="96929664"/>
      </c:barChart>
      <c:lineChart>
        <c:grouping val="standard"/>
        <c:varyColors val="0"/>
        <c:ser>
          <c:idx val="1"/>
          <c:order val="1"/>
          <c:tx>
            <c:strRef>
              <c:f>'Sources schémas'!$B$25</c:f>
              <c:strCache>
                <c:ptCount val="1"/>
                <c:pt idx="0">
                  <c:v>Résultat d'exploitation</c:v>
                </c:pt>
              </c:strCache>
            </c:strRef>
          </c:tx>
          <c:spPr>
            <a:ln>
              <a:solidFill>
                <a:srgbClr val="FF5050"/>
              </a:solidFill>
            </a:ln>
          </c:spPr>
          <c:marker>
            <c:spPr>
              <a:solidFill>
                <a:srgbClr val="FF5050"/>
              </a:solidFill>
              <a:ln>
                <a:solidFill>
                  <a:srgbClr val="FF5050"/>
                </a:solidFill>
              </a:ln>
            </c:spPr>
          </c:marker>
          <c:dLbls>
            <c:numFmt formatCode="#,##0" sourceLinked="0"/>
            <c:spPr>
              <a:noFill/>
              <a:ln w="25400">
                <a:noFill/>
              </a:ln>
            </c:spPr>
            <c:txPr>
              <a:bodyPr/>
              <a:lstStyle/>
              <a:p>
                <a:pPr>
                  <a:defRPr sz="1050" b="1" i="0" u="none" strike="noStrike" baseline="0">
                    <a:solidFill>
                      <a:srgbClr val="CC3300"/>
                    </a:solidFill>
                    <a:latin typeface="Arial" pitchFamily="34" charset="0"/>
                    <a:ea typeface="Calibri"/>
                    <a:cs typeface="Arial" pitchFamily="34" charset="0"/>
                  </a:defRPr>
                </a:pPr>
                <a:endParaRPr lang="fr-FR"/>
              </a:p>
            </c:txPr>
            <c:dLblPos val="b"/>
            <c:showLegendKey val="0"/>
            <c:showVal val="1"/>
            <c:showCatName val="0"/>
            <c:showSerName val="0"/>
            <c:showPercent val="0"/>
            <c:showBubbleSize val="0"/>
            <c:showLeaderLines val="0"/>
          </c:dLbls>
          <c:cat>
            <c:numRef>
              <c:f>'Sources schémas'!$C$23:$H$23</c:f>
              <c:numCache>
                <c:formatCode>General</c:formatCode>
                <c:ptCount val="6"/>
                <c:pt idx="0">
                  <c:v>2014</c:v>
                </c:pt>
                <c:pt idx="1">
                  <c:v>2015</c:v>
                </c:pt>
                <c:pt idx="2">
                  <c:v>2016</c:v>
                </c:pt>
                <c:pt idx="3">
                  <c:v>2017</c:v>
                </c:pt>
                <c:pt idx="4">
                  <c:v>2018</c:v>
                </c:pt>
                <c:pt idx="5">
                  <c:v>2019</c:v>
                </c:pt>
              </c:numCache>
            </c:numRef>
          </c:cat>
          <c:val>
            <c:numRef>
              <c:f>'Sources schémas'!$C$25:$H$25</c:f>
              <c:numCache>
                <c:formatCode>#,##0</c:formatCode>
                <c:ptCount val="6"/>
                <c:pt idx="0">
                  <c:v>0</c:v>
                </c:pt>
                <c:pt idx="1">
                  <c:v>0</c:v>
                </c:pt>
                <c:pt idx="2">
                  <c:v>0</c:v>
                </c:pt>
                <c:pt idx="3">
                  <c:v>0</c:v>
                </c:pt>
                <c:pt idx="4">
                  <c:v>0</c:v>
                </c:pt>
                <c:pt idx="5">
                  <c:v>0</c:v>
                </c:pt>
              </c:numCache>
            </c:numRef>
          </c:val>
          <c:smooth val="0"/>
        </c:ser>
        <c:dLbls>
          <c:showLegendKey val="0"/>
          <c:showVal val="1"/>
          <c:showCatName val="0"/>
          <c:showSerName val="0"/>
          <c:showPercent val="0"/>
          <c:showBubbleSize val="0"/>
        </c:dLbls>
        <c:marker val="1"/>
        <c:smooth val="0"/>
        <c:axId val="96930432"/>
        <c:axId val="96936320"/>
      </c:lineChart>
      <c:catAx>
        <c:axId val="96928128"/>
        <c:scaling>
          <c:orientation val="minMax"/>
        </c:scaling>
        <c:delete val="0"/>
        <c:axPos val="b"/>
        <c:numFmt formatCode="General" sourceLinked="1"/>
        <c:majorTickMark val="none"/>
        <c:minorTickMark val="none"/>
        <c:tickLblPos val="low"/>
        <c:txPr>
          <a:bodyPr rot="0" vert="horz"/>
          <a:lstStyle/>
          <a:p>
            <a:pPr>
              <a:defRPr sz="1100" b="1" i="0" u="none" strike="noStrike" baseline="0">
                <a:solidFill>
                  <a:srgbClr val="000000"/>
                </a:solidFill>
                <a:latin typeface="Arial" pitchFamily="34" charset="0"/>
                <a:ea typeface="Rockwell"/>
                <a:cs typeface="Arial" pitchFamily="34" charset="0"/>
              </a:defRPr>
            </a:pPr>
            <a:endParaRPr lang="fr-FR"/>
          </a:p>
        </c:txPr>
        <c:crossAx val="96929664"/>
        <c:crosses val="autoZero"/>
        <c:auto val="0"/>
        <c:lblAlgn val="ctr"/>
        <c:lblOffset val="100"/>
        <c:tickLblSkip val="1"/>
        <c:tickMarkSkip val="1"/>
        <c:noMultiLvlLbl val="0"/>
      </c:catAx>
      <c:valAx>
        <c:axId val="96929664"/>
        <c:scaling>
          <c:orientation val="minMax"/>
        </c:scaling>
        <c:delete val="0"/>
        <c:axPos val="l"/>
        <c:majorGridlines>
          <c:spPr>
            <a:ln w="3175"/>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pitchFamily="34" charset="0"/>
                <a:ea typeface="Rockwell"/>
                <a:cs typeface="Arial" pitchFamily="34" charset="0"/>
              </a:defRPr>
            </a:pPr>
            <a:endParaRPr lang="fr-FR"/>
          </a:p>
        </c:txPr>
        <c:crossAx val="96928128"/>
        <c:crosses val="autoZero"/>
        <c:crossBetween val="between"/>
      </c:valAx>
      <c:catAx>
        <c:axId val="96930432"/>
        <c:scaling>
          <c:orientation val="minMax"/>
        </c:scaling>
        <c:delete val="1"/>
        <c:axPos val="b"/>
        <c:numFmt formatCode="General" sourceLinked="1"/>
        <c:majorTickMark val="out"/>
        <c:minorTickMark val="none"/>
        <c:tickLblPos val="none"/>
        <c:crossAx val="96936320"/>
        <c:crosses val="autoZero"/>
        <c:auto val="0"/>
        <c:lblAlgn val="ctr"/>
        <c:lblOffset val="100"/>
        <c:noMultiLvlLbl val="0"/>
      </c:catAx>
      <c:valAx>
        <c:axId val="96936320"/>
        <c:scaling>
          <c:orientation val="minMax"/>
        </c:scaling>
        <c:delete val="1"/>
        <c:axPos val="l"/>
        <c:numFmt formatCode="#,##0" sourceLinked="1"/>
        <c:majorTickMark val="out"/>
        <c:minorTickMark val="none"/>
        <c:tickLblPos val="none"/>
        <c:crossAx val="96930432"/>
        <c:crosses val="autoZero"/>
        <c:crossBetween val="between"/>
      </c:valAx>
      <c:spPr>
        <a:noFill/>
      </c:spPr>
    </c:plotArea>
    <c:legend>
      <c:legendPos val="r"/>
      <c:layout>
        <c:manualLayout>
          <c:xMode val="edge"/>
          <c:yMode val="edge"/>
          <c:x val="9.2106550510973328E-2"/>
          <c:y val="2.6962870940436305E-2"/>
          <c:w val="0.84415565026849559"/>
          <c:h val="9.5346845902817765E-2"/>
        </c:manualLayout>
      </c:layout>
      <c:overlay val="0"/>
      <c:txPr>
        <a:bodyPr/>
        <a:lstStyle/>
        <a:p>
          <a:pPr>
            <a:defRPr sz="1100" b="1"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2"/>
    </a:solidFill>
    <a:ln w="3175">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oddHeader>&amp;A</c:oddHeader>
      <c:oddFooter>Page &amp;P</c:oddFooter>
    </c:headerFooter>
    <c:pageMargins b="0.98425196899999956" l="0.78740157499999996" r="0.78740157499999996" t="0.98425196899999956" header="0.5" footer="0.5"/>
    <c:pageSetup paperSize="9" orientation="landscape" horizontalDpi="-4" verticalDpi="-4"/>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rgbClr val="FF0000"/>
                </a:solidFill>
              </a:defRPr>
            </a:pPr>
            <a:r>
              <a:rPr lang="fr-FR" sz="1600">
                <a:solidFill>
                  <a:srgbClr val="FF0000"/>
                </a:solidFill>
              </a:rPr>
              <a:t>Composition des charges </a:t>
            </a:r>
            <a:r>
              <a:rPr lang="fr-FR" sz="1100">
                <a:solidFill>
                  <a:srgbClr val="FF0000"/>
                </a:solidFill>
              </a:rPr>
              <a:t>*</a:t>
            </a:r>
          </a:p>
        </c:rich>
      </c:tx>
      <c:overlay val="0"/>
    </c:title>
    <c:autoTitleDeleted val="0"/>
    <c:plotArea>
      <c:layout>
        <c:manualLayout>
          <c:layoutTarget val="inner"/>
          <c:xMode val="edge"/>
          <c:yMode val="edge"/>
          <c:x val="0.15674033402181101"/>
          <c:y val="0.16880959579395566"/>
          <c:w val="0.60252370025251289"/>
          <c:h val="0.6389621202879795"/>
        </c:manualLayout>
      </c:layout>
      <c:areaChart>
        <c:grouping val="stacked"/>
        <c:varyColors val="0"/>
        <c:ser>
          <c:idx val="0"/>
          <c:order val="0"/>
          <c:tx>
            <c:strRef>
              <c:f>'Sources schémas'!$B$48</c:f>
              <c:strCache>
                <c:ptCount val="1"/>
                <c:pt idx="0">
                  <c:v>Masse salariale</c:v>
                </c:pt>
              </c:strCache>
            </c:strRef>
          </c:tx>
          <c:spPr>
            <a:solidFill>
              <a:schemeClr val="accent2">
                <a:lumMod val="50000"/>
              </a:schemeClr>
            </a:solidFill>
          </c:spPr>
          <c:cat>
            <c:numRef>
              <c:f>'Sources schémas'!$C$47:$H$47</c:f>
              <c:numCache>
                <c:formatCode>General</c:formatCode>
                <c:ptCount val="6"/>
                <c:pt idx="0">
                  <c:v>2014</c:v>
                </c:pt>
                <c:pt idx="1">
                  <c:v>2015</c:v>
                </c:pt>
                <c:pt idx="2">
                  <c:v>2016</c:v>
                </c:pt>
                <c:pt idx="3">
                  <c:v>2017</c:v>
                </c:pt>
                <c:pt idx="4">
                  <c:v>2018</c:v>
                </c:pt>
                <c:pt idx="5">
                  <c:v>2019</c:v>
                </c:pt>
              </c:numCache>
            </c:numRef>
          </c:cat>
          <c:val>
            <c:numRef>
              <c:f>'Sources schémas'!$C$48:$H$48</c:f>
              <c:numCache>
                <c:formatCode>#,##0</c:formatCode>
                <c:ptCount val="6"/>
                <c:pt idx="0">
                  <c:v>0</c:v>
                </c:pt>
                <c:pt idx="1">
                  <c:v>0</c:v>
                </c:pt>
                <c:pt idx="2">
                  <c:v>0</c:v>
                </c:pt>
                <c:pt idx="3" formatCode="General">
                  <c:v>0</c:v>
                </c:pt>
                <c:pt idx="4">
                  <c:v>0</c:v>
                </c:pt>
                <c:pt idx="5">
                  <c:v>0</c:v>
                </c:pt>
              </c:numCache>
            </c:numRef>
          </c:val>
        </c:ser>
        <c:ser>
          <c:idx val="1"/>
          <c:order val="1"/>
          <c:tx>
            <c:strRef>
              <c:f>'Sources schémas'!$B$49</c:f>
              <c:strCache>
                <c:ptCount val="1"/>
                <c:pt idx="0">
                  <c:v>Frais de structure</c:v>
                </c:pt>
              </c:strCache>
            </c:strRef>
          </c:tx>
          <c:spPr>
            <a:solidFill>
              <a:srgbClr val="FFC000"/>
            </a:solidFill>
          </c:spPr>
          <c:cat>
            <c:numRef>
              <c:f>'Sources schémas'!$C$47:$H$47</c:f>
              <c:numCache>
                <c:formatCode>General</c:formatCode>
                <c:ptCount val="6"/>
                <c:pt idx="0">
                  <c:v>2014</c:v>
                </c:pt>
                <c:pt idx="1">
                  <c:v>2015</c:v>
                </c:pt>
                <c:pt idx="2">
                  <c:v>2016</c:v>
                </c:pt>
                <c:pt idx="3">
                  <c:v>2017</c:v>
                </c:pt>
                <c:pt idx="4">
                  <c:v>2018</c:v>
                </c:pt>
                <c:pt idx="5">
                  <c:v>2019</c:v>
                </c:pt>
              </c:numCache>
            </c:numRef>
          </c:cat>
          <c:val>
            <c:numRef>
              <c:f>'Sources schémas'!$C$49:$H$49</c:f>
              <c:numCache>
                <c:formatCode>#,##0</c:formatCode>
                <c:ptCount val="6"/>
                <c:pt idx="0">
                  <c:v>0</c:v>
                </c:pt>
                <c:pt idx="1">
                  <c:v>0</c:v>
                </c:pt>
                <c:pt idx="2">
                  <c:v>0</c:v>
                </c:pt>
                <c:pt idx="3" formatCode="General">
                  <c:v>0</c:v>
                </c:pt>
                <c:pt idx="4">
                  <c:v>0</c:v>
                </c:pt>
                <c:pt idx="5">
                  <c:v>0</c:v>
                </c:pt>
              </c:numCache>
            </c:numRef>
          </c:val>
        </c:ser>
        <c:ser>
          <c:idx val="2"/>
          <c:order val="2"/>
          <c:tx>
            <c:strRef>
              <c:f>'Sources schémas'!$B$50</c:f>
              <c:strCache>
                <c:ptCount val="1"/>
                <c:pt idx="0">
                  <c:v>Charges variables</c:v>
                </c:pt>
              </c:strCache>
            </c:strRef>
          </c:tx>
          <c:spPr>
            <a:solidFill>
              <a:srgbClr val="FF5050"/>
            </a:solidFill>
          </c:spPr>
          <c:cat>
            <c:numRef>
              <c:f>'Sources schémas'!$C$47:$H$47</c:f>
              <c:numCache>
                <c:formatCode>General</c:formatCode>
                <c:ptCount val="6"/>
                <c:pt idx="0">
                  <c:v>2014</c:v>
                </c:pt>
                <c:pt idx="1">
                  <c:v>2015</c:v>
                </c:pt>
                <c:pt idx="2">
                  <c:v>2016</c:v>
                </c:pt>
                <c:pt idx="3">
                  <c:v>2017</c:v>
                </c:pt>
                <c:pt idx="4">
                  <c:v>2018</c:v>
                </c:pt>
                <c:pt idx="5">
                  <c:v>2019</c:v>
                </c:pt>
              </c:numCache>
            </c:numRef>
          </c:cat>
          <c:val>
            <c:numRef>
              <c:f>'Sources schémas'!$C$50:$H$50</c:f>
              <c:numCache>
                <c:formatCode>#,##0</c:formatCode>
                <c:ptCount val="6"/>
                <c:pt idx="0">
                  <c:v>0</c:v>
                </c:pt>
                <c:pt idx="1">
                  <c:v>0</c:v>
                </c:pt>
                <c:pt idx="2">
                  <c:v>0</c:v>
                </c:pt>
                <c:pt idx="3" formatCode="General">
                  <c:v>0</c:v>
                </c:pt>
                <c:pt idx="4">
                  <c:v>0</c:v>
                </c:pt>
                <c:pt idx="5">
                  <c:v>0</c:v>
                </c:pt>
              </c:numCache>
            </c:numRef>
          </c:val>
        </c:ser>
        <c:ser>
          <c:idx val="3"/>
          <c:order val="3"/>
          <c:tx>
            <c:strRef>
              <c:f>'Sources schémas'!$B$51</c:f>
              <c:strCache>
                <c:ptCount val="1"/>
                <c:pt idx="0">
                  <c:v>Autres charges</c:v>
                </c:pt>
              </c:strCache>
            </c:strRef>
          </c:tx>
          <c:spPr>
            <a:solidFill>
              <a:schemeClr val="bg2">
                <a:lumMod val="50000"/>
              </a:schemeClr>
            </a:solidFill>
          </c:spPr>
          <c:cat>
            <c:numRef>
              <c:f>'Sources schémas'!$C$47:$H$47</c:f>
              <c:numCache>
                <c:formatCode>General</c:formatCode>
                <c:ptCount val="6"/>
                <c:pt idx="0">
                  <c:v>2014</c:v>
                </c:pt>
                <c:pt idx="1">
                  <c:v>2015</c:v>
                </c:pt>
                <c:pt idx="2">
                  <c:v>2016</c:v>
                </c:pt>
                <c:pt idx="3">
                  <c:v>2017</c:v>
                </c:pt>
                <c:pt idx="4">
                  <c:v>2018</c:v>
                </c:pt>
                <c:pt idx="5">
                  <c:v>2019</c:v>
                </c:pt>
              </c:numCache>
            </c:numRef>
          </c:cat>
          <c:val>
            <c:numRef>
              <c:f>'Sources schémas'!$C$51:$H$51</c:f>
              <c:numCache>
                <c:formatCode>#,##0</c:formatCode>
                <c:ptCount val="6"/>
                <c:pt idx="0">
                  <c:v>0</c:v>
                </c:pt>
                <c:pt idx="1">
                  <c:v>0</c:v>
                </c:pt>
                <c:pt idx="2">
                  <c:v>0</c:v>
                </c:pt>
                <c:pt idx="3" formatCode="General">
                  <c:v>0</c:v>
                </c:pt>
                <c:pt idx="4">
                  <c:v>0</c:v>
                </c:pt>
                <c:pt idx="5">
                  <c:v>0</c:v>
                </c:pt>
              </c:numCache>
            </c:numRef>
          </c:val>
        </c:ser>
        <c:dLbls>
          <c:showLegendKey val="0"/>
          <c:showVal val="0"/>
          <c:showCatName val="0"/>
          <c:showSerName val="0"/>
          <c:showPercent val="0"/>
          <c:showBubbleSize val="0"/>
        </c:dLbls>
        <c:axId val="96962816"/>
        <c:axId val="96968704"/>
      </c:areaChart>
      <c:catAx>
        <c:axId val="96962816"/>
        <c:scaling>
          <c:orientation val="minMax"/>
        </c:scaling>
        <c:delete val="0"/>
        <c:axPos val="b"/>
        <c:numFmt formatCode="General" sourceLinked="1"/>
        <c:majorTickMark val="none"/>
        <c:minorTickMark val="none"/>
        <c:tickLblPos val="nextTo"/>
        <c:crossAx val="96968704"/>
        <c:crosses val="autoZero"/>
        <c:auto val="1"/>
        <c:lblAlgn val="ctr"/>
        <c:lblOffset val="100"/>
        <c:noMultiLvlLbl val="0"/>
      </c:catAx>
      <c:valAx>
        <c:axId val="96968704"/>
        <c:scaling>
          <c:orientation val="minMax"/>
        </c:scaling>
        <c:delete val="0"/>
        <c:axPos val="l"/>
        <c:majorGridlines/>
        <c:numFmt formatCode="#,##0" sourceLinked="1"/>
        <c:majorTickMark val="none"/>
        <c:minorTickMark val="none"/>
        <c:tickLblPos val="nextTo"/>
        <c:txPr>
          <a:bodyPr/>
          <a:lstStyle/>
          <a:p>
            <a:pPr>
              <a:defRPr b="0"/>
            </a:pPr>
            <a:endParaRPr lang="fr-FR"/>
          </a:p>
        </c:txPr>
        <c:crossAx val="96962816"/>
        <c:crosses val="autoZero"/>
        <c:crossBetween val="midCat"/>
      </c:valAx>
      <c:spPr>
        <a:solidFill>
          <a:schemeClr val="bg2"/>
        </a:solidFill>
      </c:spPr>
    </c:plotArea>
    <c:legend>
      <c:legendPos val="b"/>
      <c:layout>
        <c:manualLayout>
          <c:xMode val="edge"/>
          <c:yMode val="edge"/>
          <c:x val="0.80384903593256163"/>
          <c:y val="8.707923478445545E-2"/>
          <c:w val="0.19430838082231694"/>
          <c:h val="0.738523357465937"/>
        </c:manualLayout>
      </c:layout>
      <c:overlay val="0"/>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rgbClr val="00B0F0"/>
                </a:solidFill>
              </a:defRPr>
            </a:pPr>
            <a:r>
              <a:rPr lang="fr-FR" sz="1600">
                <a:solidFill>
                  <a:srgbClr val="00B0F0"/>
                </a:solidFill>
              </a:rPr>
              <a:t>Composition des produits </a:t>
            </a:r>
            <a:r>
              <a:rPr lang="fr-FR" sz="1100">
                <a:solidFill>
                  <a:srgbClr val="00B0F0"/>
                </a:solidFill>
              </a:rPr>
              <a:t>*</a:t>
            </a:r>
          </a:p>
        </c:rich>
      </c:tx>
      <c:overlay val="0"/>
    </c:title>
    <c:autoTitleDeleted val="0"/>
    <c:plotArea>
      <c:layout>
        <c:manualLayout>
          <c:layoutTarget val="inner"/>
          <c:xMode val="edge"/>
          <c:yMode val="edge"/>
          <c:x val="0.16694455711828959"/>
          <c:y val="0.1633119147166632"/>
          <c:w val="0.5872905777156765"/>
          <c:h val="0.67430776519709368"/>
        </c:manualLayout>
      </c:layout>
      <c:areaChart>
        <c:grouping val="stacked"/>
        <c:varyColors val="0"/>
        <c:ser>
          <c:idx val="0"/>
          <c:order val="0"/>
          <c:tx>
            <c:strRef>
              <c:f>'Sources schémas'!$B$54</c:f>
              <c:strCache>
                <c:ptCount val="1"/>
                <c:pt idx="0">
                  <c:v>Facturation 1/3 payeurs</c:v>
                </c:pt>
              </c:strCache>
            </c:strRef>
          </c:tx>
          <c:spPr>
            <a:solidFill>
              <a:schemeClr val="accent5">
                <a:lumMod val="50000"/>
              </a:schemeClr>
            </a:solidFill>
            <a:ln>
              <a:solidFill>
                <a:schemeClr val="accent5">
                  <a:lumMod val="50000"/>
                </a:schemeClr>
              </a:solidFill>
            </a:ln>
          </c:spPr>
          <c:cat>
            <c:numRef>
              <c:f>'Sources schémas'!$C$53:$H$53</c:f>
              <c:numCache>
                <c:formatCode>General</c:formatCode>
                <c:ptCount val="6"/>
                <c:pt idx="0">
                  <c:v>2014</c:v>
                </c:pt>
                <c:pt idx="1">
                  <c:v>2015</c:v>
                </c:pt>
                <c:pt idx="2">
                  <c:v>2016</c:v>
                </c:pt>
                <c:pt idx="3">
                  <c:v>2017</c:v>
                </c:pt>
                <c:pt idx="4">
                  <c:v>2018</c:v>
                </c:pt>
                <c:pt idx="5" formatCode="0">
                  <c:v>2019</c:v>
                </c:pt>
              </c:numCache>
            </c:numRef>
          </c:cat>
          <c:val>
            <c:numRef>
              <c:f>'Sources schémas'!$C$54:$H$54</c:f>
              <c:numCache>
                <c:formatCode>#,##0</c:formatCode>
                <c:ptCount val="6"/>
                <c:pt idx="0">
                  <c:v>0</c:v>
                </c:pt>
                <c:pt idx="1">
                  <c:v>0</c:v>
                </c:pt>
                <c:pt idx="2">
                  <c:v>0</c:v>
                </c:pt>
                <c:pt idx="3" formatCode="General">
                  <c:v>0</c:v>
                </c:pt>
                <c:pt idx="4">
                  <c:v>0</c:v>
                </c:pt>
                <c:pt idx="5" formatCode="0">
                  <c:v>0</c:v>
                </c:pt>
              </c:numCache>
            </c:numRef>
          </c:val>
        </c:ser>
        <c:ser>
          <c:idx val="1"/>
          <c:order val="1"/>
          <c:tx>
            <c:strRef>
              <c:f>'Sources schémas'!$B$55</c:f>
              <c:strCache>
                <c:ptCount val="1"/>
                <c:pt idx="0">
                  <c:v>Participation des usagers</c:v>
                </c:pt>
              </c:strCache>
            </c:strRef>
          </c:tx>
          <c:spPr>
            <a:solidFill>
              <a:srgbClr val="00B0F0"/>
            </a:solidFill>
          </c:spPr>
          <c:cat>
            <c:numRef>
              <c:f>'Sources schémas'!$C$53:$H$53</c:f>
              <c:numCache>
                <c:formatCode>General</c:formatCode>
                <c:ptCount val="6"/>
                <c:pt idx="0">
                  <c:v>2014</c:v>
                </c:pt>
                <c:pt idx="1">
                  <c:v>2015</c:v>
                </c:pt>
                <c:pt idx="2">
                  <c:v>2016</c:v>
                </c:pt>
                <c:pt idx="3">
                  <c:v>2017</c:v>
                </c:pt>
                <c:pt idx="4">
                  <c:v>2018</c:v>
                </c:pt>
                <c:pt idx="5" formatCode="0">
                  <c:v>2019</c:v>
                </c:pt>
              </c:numCache>
            </c:numRef>
          </c:cat>
          <c:val>
            <c:numRef>
              <c:f>'Sources schémas'!$C$55:$H$55</c:f>
              <c:numCache>
                <c:formatCode>#,##0</c:formatCode>
                <c:ptCount val="6"/>
                <c:pt idx="0">
                  <c:v>0</c:v>
                </c:pt>
                <c:pt idx="1">
                  <c:v>0</c:v>
                </c:pt>
                <c:pt idx="2">
                  <c:v>0</c:v>
                </c:pt>
                <c:pt idx="3" formatCode="General">
                  <c:v>0</c:v>
                </c:pt>
                <c:pt idx="4">
                  <c:v>0</c:v>
                </c:pt>
                <c:pt idx="5">
                  <c:v>0</c:v>
                </c:pt>
              </c:numCache>
            </c:numRef>
          </c:val>
        </c:ser>
        <c:ser>
          <c:idx val="2"/>
          <c:order val="2"/>
          <c:tx>
            <c:strRef>
              <c:f>'Sources schémas'!$B$56</c:f>
              <c:strCache>
                <c:ptCount val="1"/>
                <c:pt idx="0">
                  <c:v>Subventions, Aides à l'emploi</c:v>
                </c:pt>
              </c:strCache>
            </c:strRef>
          </c:tx>
          <c:spPr>
            <a:solidFill>
              <a:srgbClr val="7030A0"/>
            </a:solidFill>
          </c:spPr>
          <c:cat>
            <c:numRef>
              <c:f>'Sources schémas'!$C$53:$H$53</c:f>
              <c:numCache>
                <c:formatCode>General</c:formatCode>
                <c:ptCount val="6"/>
                <c:pt idx="0">
                  <c:v>2014</c:v>
                </c:pt>
                <c:pt idx="1">
                  <c:v>2015</c:v>
                </c:pt>
                <c:pt idx="2">
                  <c:v>2016</c:v>
                </c:pt>
                <c:pt idx="3">
                  <c:v>2017</c:v>
                </c:pt>
                <c:pt idx="4">
                  <c:v>2018</c:v>
                </c:pt>
                <c:pt idx="5" formatCode="0">
                  <c:v>2019</c:v>
                </c:pt>
              </c:numCache>
            </c:numRef>
          </c:cat>
          <c:val>
            <c:numRef>
              <c:f>'Sources schémas'!$C$56:$H$56</c:f>
              <c:numCache>
                <c:formatCode>#,##0</c:formatCode>
                <c:ptCount val="6"/>
                <c:pt idx="0">
                  <c:v>0</c:v>
                </c:pt>
                <c:pt idx="1">
                  <c:v>0</c:v>
                </c:pt>
                <c:pt idx="2">
                  <c:v>0</c:v>
                </c:pt>
                <c:pt idx="3" formatCode="General">
                  <c:v>0</c:v>
                </c:pt>
                <c:pt idx="4">
                  <c:v>0</c:v>
                </c:pt>
                <c:pt idx="5">
                  <c:v>0</c:v>
                </c:pt>
              </c:numCache>
            </c:numRef>
          </c:val>
        </c:ser>
        <c:ser>
          <c:idx val="3"/>
          <c:order val="3"/>
          <c:tx>
            <c:strRef>
              <c:f>'Sources schémas'!$B$57</c:f>
              <c:strCache>
                <c:ptCount val="1"/>
                <c:pt idx="0">
                  <c:v>Autres produits</c:v>
                </c:pt>
              </c:strCache>
            </c:strRef>
          </c:tx>
          <c:spPr>
            <a:solidFill>
              <a:srgbClr val="808080"/>
            </a:solidFill>
          </c:spPr>
          <c:cat>
            <c:numRef>
              <c:f>'Sources schémas'!$C$53:$H$53</c:f>
              <c:numCache>
                <c:formatCode>General</c:formatCode>
                <c:ptCount val="6"/>
                <c:pt idx="0">
                  <c:v>2014</c:v>
                </c:pt>
                <c:pt idx="1">
                  <c:v>2015</c:v>
                </c:pt>
                <c:pt idx="2">
                  <c:v>2016</c:v>
                </c:pt>
                <c:pt idx="3">
                  <c:v>2017</c:v>
                </c:pt>
                <c:pt idx="4">
                  <c:v>2018</c:v>
                </c:pt>
                <c:pt idx="5" formatCode="0">
                  <c:v>2019</c:v>
                </c:pt>
              </c:numCache>
            </c:numRef>
          </c:cat>
          <c:val>
            <c:numRef>
              <c:f>'Sources schémas'!$C$57:$H$57</c:f>
              <c:numCache>
                <c:formatCode>#,##0</c:formatCode>
                <c:ptCount val="6"/>
                <c:pt idx="0">
                  <c:v>0</c:v>
                </c:pt>
                <c:pt idx="1">
                  <c:v>0</c:v>
                </c:pt>
                <c:pt idx="2">
                  <c:v>0</c:v>
                </c:pt>
                <c:pt idx="3" formatCode="General">
                  <c:v>0</c:v>
                </c:pt>
                <c:pt idx="4">
                  <c:v>0</c:v>
                </c:pt>
                <c:pt idx="5">
                  <c:v>0</c:v>
                </c:pt>
              </c:numCache>
            </c:numRef>
          </c:val>
        </c:ser>
        <c:dLbls>
          <c:showLegendKey val="0"/>
          <c:showVal val="0"/>
          <c:showCatName val="0"/>
          <c:showSerName val="0"/>
          <c:showPercent val="0"/>
          <c:showBubbleSize val="0"/>
        </c:dLbls>
        <c:axId val="118695808"/>
        <c:axId val="118697344"/>
      </c:areaChart>
      <c:catAx>
        <c:axId val="118695808"/>
        <c:scaling>
          <c:orientation val="minMax"/>
        </c:scaling>
        <c:delete val="0"/>
        <c:axPos val="b"/>
        <c:numFmt formatCode="General" sourceLinked="1"/>
        <c:majorTickMark val="none"/>
        <c:minorTickMark val="none"/>
        <c:tickLblPos val="nextTo"/>
        <c:crossAx val="118697344"/>
        <c:crosses val="autoZero"/>
        <c:auto val="1"/>
        <c:lblAlgn val="ctr"/>
        <c:lblOffset val="100"/>
        <c:noMultiLvlLbl val="0"/>
      </c:catAx>
      <c:valAx>
        <c:axId val="118697344"/>
        <c:scaling>
          <c:orientation val="minMax"/>
        </c:scaling>
        <c:delete val="0"/>
        <c:axPos val="l"/>
        <c:majorGridlines/>
        <c:numFmt formatCode="#,##0" sourceLinked="1"/>
        <c:majorTickMark val="none"/>
        <c:minorTickMark val="none"/>
        <c:tickLblPos val="nextTo"/>
        <c:txPr>
          <a:bodyPr/>
          <a:lstStyle/>
          <a:p>
            <a:pPr algn="ctr">
              <a:defRPr b="0"/>
            </a:pPr>
            <a:endParaRPr lang="fr-FR"/>
          </a:p>
        </c:txPr>
        <c:crossAx val="118695808"/>
        <c:crosses val="autoZero"/>
        <c:crossBetween val="midCat"/>
      </c:valAx>
      <c:spPr>
        <a:solidFill>
          <a:schemeClr val="bg2"/>
        </a:solidFill>
      </c:spPr>
    </c:plotArea>
    <c:legend>
      <c:legendPos val="t"/>
      <c:layout>
        <c:manualLayout>
          <c:xMode val="edge"/>
          <c:yMode val="edge"/>
          <c:x val="0.79612366127563627"/>
          <c:y val="0.11001279459912337"/>
          <c:w val="0.1877056153799824"/>
          <c:h val="0.78304018745034354"/>
        </c:manualLayout>
      </c:layout>
      <c:overlay val="0"/>
    </c:legend>
    <c:plotVisOnly val="1"/>
    <c:dispBlanksAs val="zero"/>
    <c:showDLblsOverMax val="0"/>
  </c:chart>
  <c:spPr>
    <a:solidFill>
      <a:schemeClr val="bg2"/>
    </a:solidFill>
  </c:spPr>
  <c:txPr>
    <a:bodyPr/>
    <a:lstStyle/>
    <a:p>
      <a:pPr algn="ctr">
        <a:defRPr lang="fr-FR" sz="1200" b="1" i="0" u="none" strike="noStrike" kern="1200" baseline="0">
          <a:solidFill>
            <a:sysClr val="windowText" lastClr="000000"/>
          </a:solidFill>
          <a:latin typeface="+mn-lt"/>
          <a:ea typeface="+mn-ea"/>
          <a:cs typeface="+mn-cs"/>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rAngAx val="0"/>
      <c:perspective val="100"/>
    </c:view3D>
    <c:floor>
      <c:thickness val="0"/>
    </c:floor>
    <c:sideWall>
      <c:thickness val="0"/>
    </c:sideWall>
    <c:backWall>
      <c:thickness val="0"/>
    </c:backWall>
    <c:plotArea>
      <c:layout>
        <c:manualLayout>
          <c:layoutTarget val="inner"/>
          <c:xMode val="edge"/>
          <c:yMode val="edge"/>
          <c:x val="7.5075187175568214E-2"/>
          <c:y val="6.4047435217571794E-2"/>
          <c:w val="0.73280231283389419"/>
          <c:h val="0.81810827759260685"/>
        </c:manualLayout>
      </c:layout>
      <c:bar3DChart>
        <c:barDir val="col"/>
        <c:grouping val="percentStacked"/>
        <c:varyColors val="0"/>
        <c:ser>
          <c:idx val="0"/>
          <c:order val="0"/>
          <c:tx>
            <c:strRef>
              <c:f>'Sources schémas'!$B$5</c:f>
              <c:strCache>
                <c:ptCount val="1"/>
                <c:pt idx="0">
                  <c:v>Immobilisations</c:v>
                </c:pt>
              </c:strCache>
            </c:strRef>
          </c:tx>
          <c:spPr>
            <a:solidFill>
              <a:srgbClr val="00B050"/>
            </a:solidFill>
            <a:ln>
              <a:noFill/>
            </a:ln>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schémas'!$C$5:$H$5</c:f>
              <c:numCache>
                <c:formatCode>#,##0</c:formatCode>
                <c:ptCount val="6"/>
                <c:pt idx="0">
                  <c:v>0</c:v>
                </c:pt>
                <c:pt idx="2">
                  <c:v>0</c:v>
                </c:pt>
                <c:pt idx="4">
                  <c:v>0</c:v>
                </c:pt>
              </c:numCache>
            </c:numRef>
          </c:val>
        </c:ser>
        <c:ser>
          <c:idx val="1"/>
          <c:order val="1"/>
          <c:tx>
            <c:strRef>
              <c:f>'Sources schémas'!$B$6</c:f>
              <c:strCache>
                <c:ptCount val="1"/>
                <c:pt idx="0">
                  <c:v>Stocks et créances</c:v>
                </c:pt>
              </c:strCache>
            </c:strRef>
          </c:tx>
          <c:spPr>
            <a:solidFill>
              <a:schemeClr val="accent3">
                <a:lumMod val="75000"/>
              </a:schemeClr>
            </a:solidFill>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schémas'!$C$6:$H$6</c:f>
              <c:numCache>
                <c:formatCode>#,##0</c:formatCode>
                <c:ptCount val="6"/>
                <c:pt idx="0">
                  <c:v>0</c:v>
                </c:pt>
                <c:pt idx="2">
                  <c:v>0</c:v>
                </c:pt>
                <c:pt idx="4">
                  <c:v>0</c:v>
                </c:pt>
              </c:numCache>
            </c:numRef>
          </c:val>
        </c:ser>
        <c:ser>
          <c:idx val="2"/>
          <c:order val="2"/>
          <c:tx>
            <c:strRef>
              <c:f>'Sources schémas'!$B$7</c:f>
              <c:strCache>
                <c:ptCount val="1"/>
                <c:pt idx="0">
                  <c:v>Disponibilités</c:v>
                </c:pt>
              </c:strCache>
            </c:strRef>
          </c:tx>
          <c:spPr>
            <a:solidFill>
              <a:schemeClr val="accent3">
                <a:lumMod val="60000"/>
                <a:lumOff val="40000"/>
              </a:schemeClr>
            </a:solidFill>
            <a:ln>
              <a:noFill/>
            </a:ln>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schémas'!$C$7:$H$7</c:f>
              <c:numCache>
                <c:formatCode>#,##0</c:formatCode>
                <c:ptCount val="6"/>
                <c:pt idx="0">
                  <c:v>0</c:v>
                </c:pt>
                <c:pt idx="2">
                  <c:v>0</c:v>
                </c:pt>
                <c:pt idx="4">
                  <c:v>0</c:v>
                </c:pt>
              </c:numCache>
            </c:numRef>
          </c:val>
        </c:ser>
        <c:ser>
          <c:idx val="3"/>
          <c:order val="3"/>
          <c:tx>
            <c:strRef>
              <c:f>'Sources schémas'!$B$8</c:f>
              <c:strCache>
                <c:ptCount val="1"/>
                <c:pt idx="0">
                  <c:v>Fonds Propres</c:v>
                </c:pt>
              </c:strCache>
            </c:strRef>
          </c:tx>
          <c:spPr>
            <a:solidFill>
              <a:srgbClr val="C00000"/>
            </a:solidFill>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schémas'!$C$8:$H$8</c:f>
              <c:numCache>
                <c:formatCode>#,##0</c:formatCode>
                <c:ptCount val="6"/>
                <c:pt idx="1">
                  <c:v>0</c:v>
                </c:pt>
                <c:pt idx="3">
                  <c:v>0</c:v>
                </c:pt>
                <c:pt idx="5">
                  <c:v>0</c:v>
                </c:pt>
              </c:numCache>
            </c:numRef>
          </c:val>
        </c:ser>
        <c:ser>
          <c:idx val="4"/>
          <c:order val="4"/>
          <c:tx>
            <c:strRef>
              <c:f>'Sources schémas'!$B$9</c:f>
              <c:strCache>
                <c:ptCount val="1"/>
                <c:pt idx="0">
                  <c:v>Dettes MLT</c:v>
                </c:pt>
              </c:strCache>
            </c:strRef>
          </c:tx>
          <c:spPr>
            <a:solidFill>
              <a:schemeClr val="accent2">
                <a:lumMod val="75000"/>
              </a:schemeClr>
            </a:solidFill>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schémas'!$C$9:$H$9</c:f>
              <c:numCache>
                <c:formatCode>#,##0</c:formatCode>
                <c:ptCount val="6"/>
                <c:pt idx="1">
                  <c:v>0</c:v>
                </c:pt>
                <c:pt idx="3">
                  <c:v>0</c:v>
                </c:pt>
                <c:pt idx="5">
                  <c:v>0</c:v>
                </c:pt>
              </c:numCache>
            </c:numRef>
          </c:val>
        </c:ser>
        <c:ser>
          <c:idx val="5"/>
          <c:order val="5"/>
          <c:tx>
            <c:strRef>
              <c:f>'Sources schémas'!$B$10</c:f>
              <c:strCache>
                <c:ptCount val="1"/>
                <c:pt idx="0">
                  <c:v>Dettes CT</c:v>
                </c:pt>
              </c:strCache>
            </c:strRef>
          </c:tx>
          <c:spPr>
            <a:solidFill>
              <a:schemeClr val="accent2">
                <a:lumMod val="60000"/>
                <a:lumOff val="40000"/>
              </a:schemeClr>
            </a:solidFill>
            <a:ln>
              <a:noFill/>
            </a:ln>
          </c:spPr>
          <c:invertIfNegative val="0"/>
          <c:cat>
            <c:numRef>
              <c:f>'Sources schémas'!$C$4:$H$4</c:f>
              <c:numCache>
                <c:formatCode>###0" Passif"</c:formatCode>
                <c:ptCount val="6"/>
                <c:pt idx="0" formatCode="###0&quot; Actif&quot;">
                  <c:v>2014</c:v>
                </c:pt>
                <c:pt idx="1">
                  <c:v>2014</c:v>
                </c:pt>
                <c:pt idx="2" formatCode="###0&quot; Actif&quot;">
                  <c:v>2015</c:v>
                </c:pt>
                <c:pt idx="3">
                  <c:v>2015</c:v>
                </c:pt>
                <c:pt idx="4" formatCode="###0&quot; Actif&quot;">
                  <c:v>2016</c:v>
                </c:pt>
                <c:pt idx="5">
                  <c:v>2016</c:v>
                </c:pt>
              </c:numCache>
            </c:numRef>
          </c:cat>
          <c:val>
            <c:numRef>
              <c:f>'Sources schémas'!$C$10:$H$10</c:f>
              <c:numCache>
                <c:formatCode>#,##0</c:formatCode>
                <c:ptCount val="6"/>
                <c:pt idx="1">
                  <c:v>0</c:v>
                </c:pt>
                <c:pt idx="3">
                  <c:v>0</c:v>
                </c:pt>
                <c:pt idx="5">
                  <c:v>0</c:v>
                </c:pt>
              </c:numCache>
            </c:numRef>
          </c:val>
        </c:ser>
        <c:dLbls>
          <c:showLegendKey val="0"/>
          <c:showVal val="0"/>
          <c:showCatName val="0"/>
          <c:showSerName val="0"/>
          <c:showPercent val="0"/>
          <c:showBubbleSize val="0"/>
        </c:dLbls>
        <c:gapWidth val="123"/>
        <c:shape val="box"/>
        <c:axId val="118738944"/>
        <c:axId val="118740480"/>
        <c:axId val="0"/>
      </c:bar3DChart>
      <c:catAx>
        <c:axId val="118738944"/>
        <c:scaling>
          <c:orientation val="minMax"/>
        </c:scaling>
        <c:delete val="0"/>
        <c:axPos val="b"/>
        <c:numFmt formatCode="###0&quot; Actif&quot;" sourceLinked="1"/>
        <c:majorTickMark val="out"/>
        <c:minorTickMark val="none"/>
        <c:tickLblPos val="low"/>
        <c:txPr>
          <a:bodyPr/>
          <a:lstStyle/>
          <a:p>
            <a:pPr>
              <a:defRPr sz="1100" b="1"/>
            </a:pPr>
            <a:endParaRPr lang="fr-FR"/>
          </a:p>
        </c:txPr>
        <c:crossAx val="118740480"/>
        <c:crosses val="autoZero"/>
        <c:auto val="1"/>
        <c:lblAlgn val="ctr"/>
        <c:lblOffset val="100"/>
        <c:noMultiLvlLbl val="0"/>
      </c:catAx>
      <c:valAx>
        <c:axId val="118740480"/>
        <c:scaling>
          <c:orientation val="minMax"/>
        </c:scaling>
        <c:delete val="0"/>
        <c:axPos val="l"/>
        <c:majorGridlines/>
        <c:numFmt formatCode="0%" sourceLinked="0"/>
        <c:majorTickMark val="out"/>
        <c:minorTickMark val="none"/>
        <c:tickLblPos val="nextTo"/>
        <c:crossAx val="118738944"/>
        <c:crosses val="autoZero"/>
        <c:crossBetween val="between"/>
      </c:valAx>
    </c:plotArea>
    <c:legend>
      <c:legendPos val="r"/>
      <c:layout>
        <c:manualLayout>
          <c:xMode val="edge"/>
          <c:yMode val="edge"/>
          <c:x val="0.80316092771780956"/>
          <c:y val="2.6156946528607308E-2"/>
          <c:w val="0.19489297197500213"/>
          <c:h val="0.72695586073996932"/>
        </c:manualLayout>
      </c:layout>
      <c:overlay val="0"/>
      <c:txPr>
        <a:bodyPr/>
        <a:lstStyle/>
        <a:p>
          <a:pPr>
            <a:defRPr sz="1100" baseline="0"/>
          </a:pPr>
          <a:endParaRPr lang="fr-FR"/>
        </a:p>
      </c:txPr>
    </c:legend>
    <c:plotVisOnly val="1"/>
    <c:dispBlanksAs val="gap"/>
    <c:showDLblsOverMax val="0"/>
  </c:chart>
  <c:spPr>
    <a:solidFill>
      <a:schemeClr val="bg2"/>
    </a:solidFill>
    <a:effectLst/>
  </c:spPr>
  <c:printSettings>
    <c:headerFooter/>
    <c:pageMargins b="0.750000000000004" l="0.70000000000000162" r="0.70000000000000162" t="0.75000000000000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0"/>
      <c:perspective val="100"/>
    </c:view3D>
    <c:floor>
      <c:thickness val="0"/>
    </c:floor>
    <c:sideWall>
      <c:thickness val="0"/>
    </c:sideWall>
    <c:backWall>
      <c:thickness val="0"/>
    </c:backWall>
    <c:plotArea>
      <c:layout>
        <c:manualLayout>
          <c:layoutTarget val="inner"/>
          <c:xMode val="edge"/>
          <c:yMode val="edge"/>
          <c:x val="9.62522867111366E-2"/>
          <c:y val="5.7864330824570508E-2"/>
          <c:w val="0.73027771771885164"/>
          <c:h val="0.79498940798827722"/>
        </c:manualLayout>
      </c:layout>
      <c:bar3DChart>
        <c:barDir val="col"/>
        <c:grouping val="stacked"/>
        <c:varyColors val="0"/>
        <c:ser>
          <c:idx val="0"/>
          <c:order val="0"/>
          <c:tx>
            <c:strRef>
              <c:f>'Sources schémas'!$B$36</c:f>
              <c:strCache>
                <c:ptCount val="1"/>
                <c:pt idx="0">
                  <c:v>Masse salariale adm.&amp;encadrants</c:v>
                </c:pt>
              </c:strCache>
            </c:strRef>
          </c:tx>
          <c:spPr>
            <a:solidFill>
              <a:srgbClr val="CC3300"/>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schémas'!$C$36:$H$36</c:f>
              <c:numCache>
                <c:formatCode>###0" Produits"</c:formatCode>
                <c:ptCount val="6"/>
                <c:pt idx="0" formatCode="#,##0">
                  <c:v>0</c:v>
                </c:pt>
                <c:pt idx="2" formatCode="#,##0">
                  <c:v>0</c:v>
                </c:pt>
                <c:pt idx="4" formatCode="#,##0">
                  <c:v>0</c:v>
                </c:pt>
              </c:numCache>
            </c:numRef>
          </c:val>
        </c:ser>
        <c:ser>
          <c:idx val="1"/>
          <c:order val="1"/>
          <c:tx>
            <c:strRef>
              <c:f>'Sources schémas'!$B$37</c:f>
              <c:strCache>
                <c:ptCount val="1"/>
                <c:pt idx="0">
                  <c:v>Frais de structure</c:v>
                </c:pt>
              </c:strCache>
            </c:strRef>
          </c:tx>
          <c:spPr>
            <a:solidFill>
              <a:schemeClr val="accent6">
                <a:lumMod val="75000"/>
              </a:schemeClr>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schémas'!$C$37:$H$37</c:f>
              <c:numCache>
                <c:formatCode>###0" Produits"</c:formatCode>
                <c:ptCount val="6"/>
                <c:pt idx="0" formatCode="#,##0">
                  <c:v>0</c:v>
                </c:pt>
                <c:pt idx="2" formatCode="#,##0">
                  <c:v>0</c:v>
                </c:pt>
                <c:pt idx="4" formatCode="#,##0">
                  <c:v>0</c:v>
                </c:pt>
              </c:numCache>
            </c:numRef>
          </c:val>
        </c:ser>
        <c:ser>
          <c:idx val="2"/>
          <c:order val="2"/>
          <c:tx>
            <c:strRef>
              <c:f>'Sources schémas'!$B$38</c:f>
              <c:strCache>
                <c:ptCount val="1"/>
                <c:pt idx="0">
                  <c:v>Charges variables (yc intervenants)</c:v>
                </c:pt>
              </c:strCache>
            </c:strRef>
          </c:tx>
          <c:spPr>
            <a:solidFill>
              <a:srgbClr val="FFCC66"/>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schémas'!$C$38:$H$38</c:f>
              <c:numCache>
                <c:formatCode>###0" Produits"</c:formatCode>
                <c:ptCount val="6"/>
                <c:pt idx="0" formatCode="#,##0">
                  <c:v>0</c:v>
                </c:pt>
                <c:pt idx="2" formatCode="#,##0">
                  <c:v>0</c:v>
                </c:pt>
                <c:pt idx="4" formatCode="#,##0">
                  <c:v>0</c:v>
                </c:pt>
              </c:numCache>
            </c:numRef>
          </c:val>
        </c:ser>
        <c:ser>
          <c:idx val="3"/>
          <c:order val="3"/>
          <c:tx>
            <c:strRef>
              <c:f>'Sources schémas'!$B$39</c:f>
              <c:strCache>
                <c:ptCount val="1"/>
                <c:pt idx="0">
                  <c:v>Autres charges</c:v>
                </c:pt>
              </c:strCache>
            </c:strRef>
          </c:tx>
          <c:spPr>
            <a:solidFill>
              <a:srgbClr val="FFFF99"/>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schémas'!$C$39:$H$39</c:f>
              <c:numCache>
                <c:formatCode>###0" Produits"</c:formatCode>
                <c:ptCount val="6"/>
                <c:pt idx="0" formatCode="#,##0">
                  <c:v>0</c:v>
                </c:pt>
                <c:pt idx="2" formatCode="#,##0">
                  <c:v>0</c:v>
                </c:pt>
                <c:pt idx="4" formatCode="#,##0">
                  <c:v>0</c:v>
                </c:pt>
              </c:numCache>
            </c:numRef>
          </c:val>
        </c:ser>
        <c:ser>
          <c:idx val="4"/>
          <c:order val="4"/>
          <c:tx>
            <c:strRef>
              <c:f>'Sources schémas'!$B$40</c:f>
              <c:strCache>
                <c:ptCount val="1"/>
                <c:pt idx="0">
                  <c:v>Facturation 1/3 payeurs</c:v>
                </c:pt>
              </c:strCache>
            </c:strRef>
          </c:tx>
          <c:spPr>
            <a:solidFill>
              <a:schemeClr val="accent5">
                <a:lumMod val="75000"/>
              </a:schemeClr>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schémas'!$C$40:$H$40</c:f>
              <c:numCache>
                <c:formatCode>#,##0</c:formatCode>
                <c:ptCount val="6"/>
                <c:pt idx="1">
                  <c:v>0</c:v>
                </c:pt>
                <c:pt idx="3">
                  <c:v>0</c:v>
                </c:pt>
                <c:pt idx="5">
                  <c:v>0</c:v>
                </c:pt>
              </c:numCache>
            </c:numRef>
          </c:val>
        </c:ser>
        <c:ser>
          <c:idx val="5"/>
          <c:order val="5"/>
          <c:tx>
            <c:strRef>
              <c:f>'Sources schémas'!$B$41</c:f>
              <c:strCache>
                <c:ptCount val="1"/>
                <c:pt idx="0">
                  <c:v>Participation des usagers</c:v>
                </c:pt>
              </c:strCache>
            </c:strRef>
          </c:tx>
          <c:spPr>
            <a:solidFill>
              <a:srgbClr val="00B0F0"/>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schémas'!$C$41:$H$41</c:f>
              <c:numCache>
                <c:formatCode>#,##0</c:formatCode>
                <c:ptCount val="6"/>
                <c:pt idx="1">
                  <c:v>0</c:v>
                </c:pt>
                <c:pt idx="3">
                  <c:v>0</c:v>
                </c:pt>
                <c:pt idx="5">
                  <c:v>0</c:v>
                </c:pt>
              </c:numCache>
            </c:numRef>
          </c:val>
        </c:ser>
        <c:ser>
          <c:idx val="6"/>
          <c:order val="6"/>
          <c:tx>
            <c:strRef>
              <c:f>'Sources schémas'!$B$42</c:f>
              <c:strCache>
                <c:ptCount val="1"/>
                <c:pt idx="0">
                  <c:v>Subventions, Aides à l'emploi</c:v>
                </c:pt>
              </c:strCache>
            </c:strRef>
          </c:tx>
          <c:spPr>
            <a:solidFill>
              <a:srgbClr val="7030A0"/>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schémas'!$C$42:$H$42</c:f>
              <c:numCache>
                <c:formatCode>#,##0</c:formatCode>
                <c:ptCount val="6"/>
                <c:pt idx="1">
                  <c:v>0</c:v>
                </c:pt>
                <c:pt idx="3">
                  <c:v>0</c:v>
                </c:pt>
                <c:pt idx="5">
                  <c:v>0</c:v>
                </c:pt>
              </c:numCache>
            </c:numRef>
          </c:val>
        </c:ser>
        <c:ser>
          <c:idx val="7"/>
          <c:order val="7"/>
          <c:tx>
            <c:strRef>
              <c:f>'Sources schémas'!$B$43</c:f>
              <c:strCache>
                <c:ptCount val="1"/>
                <c:pt idx="0">
                  <c:v>Autres produits</c:v>
                </c:pt>
              </c:strCache>
            </c:strRef>
          </c:tx>
          <c:spPr>
            <a:solidFill>
              <a:schemeClr val="accent3">
                <a:lumMod val="40000"/>
                <a:lumOff val="60000"/>
              </a:schemeClr>
            </a:solidFill>
          </c:spPr>
          <c:invertIfNegative val="0"/>
          <c:cat>
            <c:numRef>
              <c:f>'Sources schémas'!$C$35:$H$35</c:f>
              <c:numCache>
                <c:formatCode>###0" Produits"</c:formatCode>
                <c:ptCount val="6"/>
                <c:pt idx="0" formatCode="###0&quot; Charges&quot;">
                  <c:v>2014</c:v>
                </c:pt>
                <c:pt idx="1">
                  <c:v>2014</c:v>
                </c:pt>
                <c:pt idx="2" formatCode="###0&quot; Charges&quot;">
                  <c:v>2015</c:v>
                </c:pt>
                <c:pt idx="3">
                  <c:v>2015</c:v>
                </c:pt>
                <c:pt idx="4" formatCode="###0&quot; Charges&quot;">
                  <c:v>2016</c:v>
                </c:pt>
                <c:pt idx="5">
                  <c:v>2016</c:v>
                </c:pt>
              </c:numCache>
            </c:numRef>
          </c:cat>
          <c:val>
            <c:numRef>
              <c:f>'Sources schémas'!$C$43:$H$43</c:f>
              <c:numCache>
                <c:formatCode>#,##0</c:formatCode>
                <c:ptCount val="6"/>
                <c:pt idx="1">
                  <c:v>0</c:v>
                </c:pt>
                <c:pt idx="3">
                  <c:v>0</c:v>
                </c:pt>
                <c:pt idx="5">
                  <c:v>0</c:v>
                </c:pt>
              </c:numCache>
            </c:numRef>
          </c:val>
        </c:ser>
        <c:dLbls>
          <c:showLegendKey val="0"/>
          <c:showVal val="0"/>
          <c:showCatName val="0"/>
          <c:showSerName val="0"/>
          <c:showPercent val="0"/>
          <c:showBubbleSize val="0"/>
        </c:dLbls>
        <c:gapWidth val="150"/>
        <c:shape val="box"/>
        <c:axId val="119122944"/>
        <c:axId val="119128832"/>
        <c:axId val="0"/>
      </c:bar3DChart>
      <c:catAx>
        <c:axId val="119122944"/>
        <c:scaling>
          <c:orientation val="minMax"/>
        </c:scaling>
        <c:delete val="0"/>
        <c:axPos val="b"/>
        <c:numFmt formatCode="###0&quot; Charges&quot;" sourceLinked="1"/>
        <c:majorTickMark val="out"/>
        <c:minorTickMark val="none"/>
        <c:tickLblPos val="low"/>
        <c:txPr>
          <a:bodyPr rot="0" vert="horz" anchor="t" anchorCtr="0"/>
          <a:lstStyle/>
          <a:p>
            <a:pPr>
              <a:defRPr sz="1050" b="1">
                <a:latin typeface="Arial" pitchFamily="34" charset="0"/>
                <a:cs typeface="Arial" pitchFamily="34" charset="0"/>
              </a:defRPr>
            </a:pPr>
            <a:endParaRPr lang="fr-FR"/>
          </a:p>
        </c:txPr>
        <c:crossAx val="119128832"/>
        <c:crosses val="autoZero"/>
        <c:auto val="1"/>
        <c:lblAlgn val="ctr"/>
        <c:lblOffset val="100"/>
        <c:noMultiLvlLbl val="0"/>
      </c:catAx>
      <c:valAx>
        <c:axId val="119128832"/>
        <c:scaling>
          <c:orientation val="minMax"/>
        </c:scaling>
        <c:delete val="0"/>
        <c:axPos val="l"/>
        <c:majorGridlines/>
        <c:numFmt formatCode="#,##0" sourceLinked="1"/>
        <c:majorTickMark val="out"/>
        <c:minorTickMark val="none"/>
        <c:tickLblPos val="nextTo"/>
        <c:crossAx val="119122944"/>
        <c:crosses val="autoZero"/>
        <c:crossBetween val="between"/>
      </c:valAx>
    </c:plotArea>
    <c:legend>
      <c:legendPos val="r"/>
      <c:layout>
        <c:manualLayout>
          <c:xMode val="edge"/>
          <c:yMode val="edge"/>
          <c:x val="0.83227030050631345"/>
          <c:y val="1.9715260474381234E-2"/>
          <c:w val="0.16772972997987817"/>
          <c:h val="0.96373669676742701"/>
        </c:manualLayout>
      </c:layout>
      <c:overlay val="0"/>
      <c:txPr>
        <a:bodyPr/>
        <a:lstStyle/>
        <a:p>
          <a:pPr>
            <a:defRPr sz="1050"/>
          </a:pPr>
          <a:endParaRPr lang="fr-FR"/>
        </a:p>
      </c:txPr>
    </c:legend>
    <c:plotVisOnly val="1"/>
    <c:dispBlanksAs val="gap"/>
    <c:showDLblsOverMax val="0"/>
  </c:chart>
  <c:spPr>
    <a:solidFill>
      <a:schemeClr val="bg2"/>
    </a:solidFill>
    <a:ln>
      <a:solidFill>
        <a:schemeClr val="tx1">
          <a:lumMod val="50000"/>
          <a:lumOff val="50000"/>
        </a:schemeClr>
      </a:solidFill>
    </a:ln>
  </c:spPr>
  <c:printSettings>
    <c:headerFooter/>
    <c:pageMargins b="0.750000000000004" l="0.70000000000000162" r="0.70000000000000162" t="0.750000000000004"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franceactive.org/include/html/telechargements/charte_graphique/logo_fa.JPG"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0" Type="http://schemas.openxmlformats.org/officeDocument/2006/relationships/chart" Target="../charts/chart25.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38097</xdr:rowOff>
    </xdr:from>
    <xdr:to>
      <xdr:col>4</xdr:col>
      <xdr:colOff>151707</xdr:colOff>
      <xdr:row>3</xdr:row>
      <xdr:rowOff>99299</xdr:rowOff>
    </xdr:to>
    <xdr:pic>
      <xdr:nvPicPr>
        <xdr:cNvPr id="7" name="Image 24" descr="http://www.franceactive.org/include/html/telechargements/charte_graphique/logo_fa.JPG"/>
        <xdr:cNvPicPr>
          <a:picLocks noChangeAspect="1" noChangeArrowheads="1"/>
        </xdr:cNvPicPr>
      </xdr:nvPicPr>
      <xdr:blipFill>
        <a:blip xmlns:r="http://schemas.openxmlformats.org/officeDocument/2006/relationships" r:embed="rId1" r:link="rId2" cstate="print"/>
        <a:stretch>
          <a:fillRect/>
        </a:stretch>
      </xdr:blipFill>
      <xdr:spPr bwMode="auto">
        <a:xfrm>
          <a:off x="57150" y="38097"/>
          <a:ext cx="2094807" cy="546977"/>
        </a:xfrm>
        <a:prstGeom prst="rect">
          <a:avLst/>
        </a:prstGeom>
        <a:noFill/>
        <a:ln w="9525">
          <a:noFill/>
          <a:miter lim="800000"/>
          <a:headEnd/>
          <a:tailEnd/>
        </a:ln>
      </xdr:spPr>
    </xdr:pic>
    <xdr:clientData/>
  </xdr:twoCellAnchor>
  <xdr:twoCellAnchor editAs="oneCell">
    <xdr:from>
      <xdr:col>8</xdr:col>
      <xdr:colOff>485384</xdr:colOff>
      <xdr:row>0</xdr:row>
      <xdr:rowOff>38100</xdr:rowOff>
    </xdr:from>
    <xdr:to>
      <xdr:col>8</xdr:col>
      <xdr:colOff>1830945</xdr:colOff>
      <xdr:row>4</xdr:row>
      <xdr:rowOff>86980</xdr:rowOff>
    </xdr:to>
    <xdr:pic>
      <xdr:nvPicPr>
        <xdr:cNvPr id="8" name="Image 25"/>
        <xdr:cNvPicPr>
          <a:picLocks noChangeAspect="1" noChangeArrowheads="1"/>
        </xdr:cNvPicPr>
      </xdr:nvPicPr>
      <xdr:blipFill>
        <a:blip xmlns:r="http://schemas.openxmlformats.org/officeDocument/2006/relationships" r:embed="rId3" cstate="print"/>
        <a:stretch>
          <a:fillRect/>
        </a:stretch>
      </xdr:blipFill>
      <xdr:spPr bwMode="auto">
        <a:xfrm>
          <a:off x="5647934" y="38100"/>
          <a:ext cx="1345561" cy="69658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337608</xdr:colOff>
      <xdr:row>4</xdr:row>
      <xdr:rowOff>9524</xdr:rowOff>
    </xdr:from>
    <xdr:to>
      <xdr:col>7</xdr:col>
      <xdr:colOff>637117</xdr:colOff>
      <xdr:row>17</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332316</xdr:colOff>
      <xdr:row>21</xdr:row>
      <xdr:rowOff>20109</xdr:rowOff>
    </xdr:from>
    <xdr:to>
      <xdr:col>8</xdr:col>
      <xdr:colOff>8467</xdr:colOff>
      <xdr:row>34</xdr:row>
      <xdr:rowOff>172509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4759</xdr:colOff>
      <xdr:row>38</xdr:row>
      <xdr:rowOff>40216</xdr:rowOff>
    </xdr:from>
    <xdr:to>
      <xdr:col>8</xdr:col>
      <xdr:colOff>19049</xdr:colOff>
      <xdr:row>55</xdr:row>
      <xdr:rowOff>87842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0</xdr:row>
          <xdr:rowOff>95250</xdr:rowOff>
        </xdr:from>
        <xdr:to>
          <xdr:col>6</xdr:col>
          <xdr:colOff>561975</xdr:colOff>
          <xdr:row>1</xdr:row>
          <xdr:rowOff>276225</xdr:rowOff>
        </xdr:to>
        <xdr:sp macro="" textlink="">
          <xdr:nvSpPr>
            <xdr:cNvPr id="39974" name="N4_5" hidden="1">
              <a:extLst>
                <a:ext uri="{63B3BB69-23CF-44E3-9099-C40C66FF867C}">
                  <a14:compatExt spid="_x0000_s39974"/>
                </a:ext>
              </a:extLst>
            </xdr:cNvPr>
            <xdr:cNvSpPr/>
          </xdr:nvSpPr>
          <xdr:spPr>
            <a:xfrm>
              <a:off x="0" y="0"/>
              <a:ext cx="0" cy="0"/>
            </a:xfrm>
            <a:prstGeom prst="rect">
              <a:avLst/>
            </a:prstGeom>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1435</xdr:colOff>
      <xdr:row>31</xdr:row>
      <xdr:rowOff>158504</xdr:rowOff>
    </xdr:from>
    <xdr:to>
      <xdr:col>8</xdr:col>
      <xdr:colOff>12531</xdr:colOff>
      <xdr:row>44</xdr:row>
      <xdr:rowOff>238125</xdr:rowOff>
    </xdr:to>
    <xdr:graphicFrame macro="">
      <xdr:nvGraphicFramePr>
        <xdr:cNvPr id="10"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783091</xdr:colOff>
      <xdr:row>32</xdr:row>
      <xdr:rowOff>4593</xdr:rowOff>
    </xdr:from>
    <xdr:to>
      <xdr:col>16</xdr:col>
      <xdr:colOff>11906</xdr:colOff>
      <xdr:row>44</xdr:row>
      <xdr:rowOff>261938</xdr:rowOff>
    </xdr:to>
    <xdr:graphicFrame macro="">
      <xdr:nvGraphicFramePr>
        <xdr:cNvPr id="2"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13229</xdr:colOff>
      <xdr:row>59</xdr:row>
      <xdr:rowOff>143138</xdr:rowOff>
    </xdr:from>
    <xdr:to>
      <xdr:col>8</xdr:col>
      <xdr:colOff>369094</xdr:colOff>
      <xdr:row>74</xdr:row>
      <xdr:rowOff>47625</xdr:rowOff>
    </xdr:to>
    <xdr:graphicFrame macro="">
      <xdr:nvGraphicFramePr>
        <xdr:cNvPr id="3"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10582</xdr:colOff>
      <xdr:row>59</xdr:row>
      <xdr:rowOff>152398</xdr:rowOff>
    </xdr:from>
    <xdr:to>
      <xdr:col>16</xdr:col>
      <xdr:colOff>29104</xdr:colOff>
      <xdr:row>74</xdr:row>
      <xdr:rowOff>71435</xdr:rowOff>
    </xdr:to>
    <xdr:graphicFrame macro="">
      <xdr:nvGraphicFramePr>
        <xdr:cNvPr id="4"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23814</xdr:colOff>
      <xdr:row>7</xdr:row>
      <xdr:rowOff>34397</xdr:rowOff>
    </xdr:from>
    <xdr:to>
      <xdr:col>8</xdr:col>
      <xdr:colOff>23814</xdr:colOff>
      <xdr:row>18</xdr:row>
      <xdr:rowOff>59531</xdr:rowOff>
    </xdr:to>
    <xdr:graphicFrame macro="">
      <xdr:nvGraphicFramePr>
        <xdr:cNvPr id="5"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11908</xdr:colOff>
      <xdr:row>7</xdr:row>
      <xdr:rowOff>23815</xdr:rowOff>
    </xdr:from>
    <xdr:to>
      <xdr:col>16</xdr:col>
      <xdr:colOff>11907</xdr:colOff>
      <xdr:row>18</xdr:row>
      <xdr:rowOff>47626</xdr:rowOff>
    </xdr:to>
    <xdr:graphicFrame macro="">
      <xdr:nvGraphicFramePr>
        <xdr:cNvPr id="6"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1435</xdr:colOff>
      <xdr:row>31</xdr:row>
      <xdr:rowOff>158504</xdr:rowOff>
    </xdr:from>
    <xdr:to>
      <xdr:col>5</xdr:col>
      <xdr:colOff>625</xdr:colOff>
      <xdr:row>44</xdr:row>
      <xdr:rowOff>238125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568780</xdr:colOff>
      <xdr:row>32</xdr:row>
      <xdr:rowOff>4593</xdr:rowOff>
    </xdr:from>
    <xdr:to>
      <xdr:col>9</xdr:col>
      <xdr:colOff>1333501</xdr:colOff>
      <xdr:row>44</xdr:row>
      <xdr:rowOff>261938</xdr:rowOff>
    </xdr:to>
    <xdr:graphicFrame macro="">
      <xdr:nvGraphicFramePr>
        <xdr:cNvPr id="3"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13229</xdr:colOff>
      <xdr:row>59</xdr:row>
      <xdr:rowOff>143138</xdr:rowOff>
    </xdr:from>
    <xdr:to>
      <xdr:col>5</xdr:col>
      <xdr:colOff>11906</xdr:colOff>
      <xdr:row>74</xdr:row>
      <xdr:rowOff>47625</xdr:rowOff>
    </xdr:to>
    <xdr:graphicFrame macro="">
      <xdr:nvGraphicFramePr>
        <xdr:cNvPr id="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10584</xdr:colOff>
      <xdr:row>59</xdr:row>
      <xdr:rowOff>140492</xdr:rowOff>
    </xdr:from>
    <xdr:to>
      <xdr:col>9</xdr:col>
      <xdr:colOff>1333500</xdr:colOff>
      <xdr:row>74</xdr:row>
      <xdr:rowOff>59529</xdr:rowOff>
    </xdr:to>
    <xdr:graphicFrame macro="">
      <xdr:nvGraphicFramePr>
        <xdr:cNvPr id="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23814</xdr:colOff>
      <xdr:row>7</xdr:row>
      <xdr:rowOff>34397</xdr:rowOff>
    </xdr:from>
    <xdr:to>
      <xdr:col>5</xdr:col>
      <xdr:colOff>11908</xdr:colOff>
      <xdr:row>18</xdr:row>
      <xdr:rowOff>59531</xdr:rowOff>
    </xdr:to>
    <xdr:graphicFrame macro="">
      <xdr:nvGraphicFramePr>
        <xdr:cNvPr id="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xdr:colOff>
      <xdr:row>7</xdr:row>
      <xdr:rowOff>35721</xdr:rowOff>
    </xdr:from>
    <xdr:to>
      <xdr:col>9</xdr:col>
      <xdr:colOff>1333500</xdr:colOff>
      <xdr:row>18</xdr:row>
      <xdr:rowOff>59532</xdr:rowOff>
    </xdr:to>
    <xdr:graphicFrame macro="">
      <xdr:nvGraphicFramePr>
        <xdr:cNvPr id="7"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190500</xdr:colOff>
      <xdr:row>5</xdr:row>
      <xdr:rowOff>147981</xdr:rowOff>
    </xdr:from>
    <xdr:to>
      <xdr:col>22</xdr:col>
      <xdr:colOff>2</xdr:colOff>
      <xdr:row>20</xdr:row>
      <xdr:rowOff>13607</xdr:rowOff>
    </xdr:to>
    <xdr:graphicFrame macro="">
      <xdr:nvGraphicFramePr>
        <xdr:cNvPr id="6"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31145</xdr:colOff>
      <xdr:row>39</xdr:row>
      <xdr:rowOff>164627</xdr:rowOff>
    </xdr:from>
    <xdr:to>
      <xdr:col>16</xdr:col>
      <xdr:colOff>152373</xdr:colOff>
      <xdr:row>48</xdr:row>
      <xdr:rowOff>344543</xdr:rowOff>
    </xdr:to>
    <xdr:graphicFrame macro="">
      <xdr:nvGraphicFramePr>
        <xdr:cNvPr id="3" name="Graphique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40823</xdr:colOff>
      <xdr:row>49</xdr:row>
      <xdr:rowOff>150743</xdr:rowOff>
    </xdr:from>
    <xdr:to>
      <xdr:col>16</xdr:col>
      <xdr:colOff>162051</xdr:colOff>
      <xdr:row>59</xdr:row>
      <xdr:rowOff>1613</xdr:rowOff>
    </xdr:to>
    <xdr:graphicFrame macro="">
      <xdr:nvGraphicFramePr>
        <xdr:cNvPr id="4" name="Graphique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64255</xdr:colOff>
      <xdr:row>59</xdr:row>
      <xdr:rowOff>307792</xdr:rowOff>
    </xdr:from>
    <xdr:to>
      <xdr:col>16</xdr:col>
      <xdr:colOff>185483</xdr:colOff>
      <xdr:row>69</xdr:row>
      <xdr:rowOff>158663</xdr:rowOff>
    </xdr:to>
    <xdr:graphicFrame macro="">
      <xdr:nvGraphicFramePr>
        <xdr:cNvPr id="5" name="Graphique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67279</xdr:colOff>
      <xdr:row>69</xdr:row>
      <xdr:rowOff>307381</xdr:rowOff>
    </xdr:from>
    <xdr:to>
      <xdr:col>16</xdr:col>
      <xdr:colOff>188507</xdr:colOff>
      <xdr:row>79</xdr:row>
      <xdr:rowOff>158251</xdr:rowOff>
    </xdr:to>
    <xdr:graphicFrame macro="">
      <xdr:nvGraphicFramePr>
        <xdr:cNvPr id="7" name="Graphique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42882</xdr:colOff>
      <xdr:row>79</xdr:row>
      <xdr:rowOff>376327</xdr:rowOff>
    </xdr:from>
    <xdr:to>
      <xdr:col>16</xdr:col>
      <xdr:colOff>164110</xdr:colOff>
      <xdr:row>89</xdr:row>
      <xdr:rowOff>227198</xdr:rowOff>
    </xdr:to>
    <xdr:graphicFrame macro="">
      <xdr:nvGraphicFramePr>
        <xdr:cNvPr id="9" name="Graphique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268552</xdr:colOff>
      <xdr:row>39</xdr:row>
      <xdr:rowOff>166686</xdr:rowOff>
    </xdr:from>
    <xdr:to>
      <xdr:col>21</xdr:col>
      <xdr:colOff>1107280</xdr:colOff>
      <xdr:row>48</xdr:row>
      <xdr:rowOff>354695</xdr:rowOff>
    </xdr:to>
    <xdr:graphicFrame macro="">
      <xdr:nvGraphicFramePr>
        <xdr:cNvPr id="20" name="Graphique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290417</xdr:colOff>
      <xdr:row>49</xdr:row>
      <xdr:rowOff>168242</xdr:rowOff>
    </xdr:from>
    <xdr:to>
      <xdr:col>21</xdr:col>
      <xdr:colOff>1095375</xdr:colOff>
      <xdr:row>59</xdr:row>
      <xdr:rowOff>7003</xdr:rowOff>
    </xdr:to>
    <xdr:graphicFrame macro="">
      <xdr:nvGraphicFramePr>
        <xdr:cNvPr id="21" name="Graphique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321469</xdr:colOff>
      <xdr:row>59</xdr:row>
      <xdr:rowOff>291975</xdr:rowOff>
    </xdr:from>
    <xdr:to>
      <xdr:col>22</xdr:col>
      <xdr:colOff>23812</xdr:colOff>
      <xdr:row>69</xdr:row>
      <xdr:rowOff>145676</xdr:rowOff>
    </xdr:to>
    <xdr:graphicFrame macro="">
      <xdr:nvGraphicFramePr>
        <xdr:cNvPr id="22" name="Graphique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370416</xdr:colOff>
      <xdr:row>69</xdr:row>
      <xdr:rowOff>324348</xdr:rowOff>
    </xdr:from>
    <xdr:to>
      <xdr:col>22</xdr:col>
      <xdr:colOff>47625</xdr:colOff>
      <xdr:row>79</xdr:row>
      <xdr:rowOff>179294</xdr:rowOff>
    </xdr:to>
    <xdr:graphicFrame macro="">
      <xdr:nvGraphicFramePr>
        <xdr:cNvPr id="23" name="Graphique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369639</xdr:colOff>
      <xdr:row>79</xdr:row>
      <xdr:rowOff>354229</xdr:rowOff>
    </xdr:from>
    <xdr:to>
      <xdr:col>22</xdr:col>
      <xdr:colOff>59532</xdr:colOff>
      <xdr:row>89</xdr:row>
      <xdr:rowOff>209176</xdr:rowOff>
    </xdr:to>
    <xdr:graphicFrame macro="">
      <xdr:nvGraphicFramePr>
        <xdr:cNvPr id="24" name="Graphique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59531</xdr:colOff>
      <xdr:row>90</xdr:row>
      <xdr:rowOff>190499</xdr:rowOff>
    </xdr:from>
    <xdr:to>
      <xdr:col>16</xdr:col>
      <xdr:colOff>180759</xdr:colOff>
      <xdr:row>100</xdr:row>
      <xdr:rowOff>112808</xdr:rowOff>
    </xdr:to>
    <xdr:graphicFrame macro="">
      <xdr:nvGraphicFramePr>
        <xdr:cNvPr id="13"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357188</xdr:colOff>
      <xdr:row>90</xdr:row>
      <xdr:rowOff>202406</xdr:rowOff>
    </xdr:from>
    <xdr:to>
      <xdr:col>22</xdr:col>
      <xdr:colOff>59532</xdr:colOff>
      <xdr:row>100</xdr:row>
      <xdr:rowOff>128791</xdr:rowOff>
    </xdr:to>
    <xdr:graphicFrame macro="">
      <xdr:nvGraphicFramePr>
        <xdr:cNvPr id="14"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231321</xdr:colOff>
      <xdr:row>6</xdr:row>
      <xdr:rowOff>258536</xdr:rowOff>
    </xdr:from>
    <xdr:to>
      <xdr:col>21</xdr:col>
      <xdr:colOff>830036</xdr:colOff>
      <xdr:row>7</xdr:row>
      <xdr:rowOff>258536</xdr:rowOff>
    </xdr:to>
    <xdr:sp macro="" textlink="">
      <xdr:nvSpPr>
        <xdr:cNvPr id="2" name="ZoneTexte 1"/>
        <xdr:cNvSpPr txBox="1"/>
      </xdr:nvSpPr>
      <xdr:spPr>
        <a:xfrm>
          <a:off x="7524750" y="2163536"/>
          <a:ext cx="7701643" cy="299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300" b="0">
              <a:solidFill>
                <a:sysClr val="windowText" lastClr="000000"/>
              </a:solidFill>
              <a:latin typeface="Arial" pitchFamily="34" charset="0"/>
              <a:cs typeface="Arial" pitchFamily="34" charset="0"/>
            </a:rPr>
            <a:t>Comparaison</a:t>
          </a:r>
          <a:r>
            <a:rPr lang="fr-FR" sz="1300" b="1">
              <a:solidFill>
                <a:sysClr val="windowText" lastClr="000000"/>
              </a:solidFill>
              <a:latin typeface="Arial" pitchFamily="34" charset="0"/>
              <a:cs typeface="Arial" pitchFamily="34" charset="0"/>
            </a:rPr>
            <a:t> heures facturées &amp; heures rémunérées </a:t>
          </a:r>
          <a:r>
            <a:rPr lang="fr-FR" sz="1300" b="0">
              <a:solidFill>
                <a:sysClr val="windowText" lastClr="000000"/>
              </a:solidFill>
              <a:latin typeface="Arial" pitchFamily="34" charset="0"/>
              <a:cs typeface="Arial" pitchFamily="34" charset="0"/>
            </a:rPr>
            <a:t>des intervenants directs </a:t>
          </a:r>
          <a:r>
            <a:rPr lang="fr-FR" sz="1300" b="1">
              <a:solidFill>
                <a:sysClr val="windowText" lastClr="000000"/>
              </a:solidFill>
              <a:latin typeface="Arial" pitchFamily="34" charset="0"/>
              <a:cs typeface="Arial" pitchFamily="34" charset="0"/>
            </a:rPr>
            <a:t>par type d'activité</a:t>
          </a:r>
        </a:p>
      </xdr:txBody>
    </xdr:sp>
    <xdr:clientData/>
  </xdr:twoCellAnchor>
  <xdr:twoCellAnchor>
    <xdr:from>
      <xdr:col>4</xdr:col>
      <xdr:colOff>163285</xdr:colOff>
      <xdr:row>23</xdr:row>
      <xdr:rowOff>275169</xdr:rowOff>
    </xdr:from>
    <xdr:to>
      <xdr:col>22</xdr:col>
      <xdr:colOff>13606</xdr:colOff>
      <xdr:row>37</xdr:row>
      <xdr:rowOff>13607</xdr:rowOff>
    </xdr:to>
    <xdr:graphicFrame macro="">
      <xdr:nvGraphicFramePr>
        <xdr:cNvPr id="8"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NARF\02.%20Axe%202%20-%20Appui%20et%20conseil%20aux%20r&#233;seaux%20associatifs\h.%20Culture\Versions%20outils\Outil%20autodiagnostic%20culture%203%20ans%2030_05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Liste déroulante"/>
      <sheetName val="Données générales"/>
      <sheetName val="Bilans passés"/>
      <sheetName val="Comptes de résultat passés"/>
      <sheetName val="Focus subventions"/>
      <sheetName val="Budgets prévisionnels"/>
      <sheetName val="Plan d_investissement"/>
      <sheetName val="Prévisionnel de trésorerie"/>
      <sheetName val="Analyse des bilans passés"/>
      <sheetName val="Analyse des CR passés"/>
      <sheetName val="Analyse des budgets prév_"/>
      <sheetName val="Plan de financement"/>
      <sheetName val="SYNTHESE"/>
    </sheetNames>
    <sheetDataSet>
      <sheetData sheetId="0"/>
      <sheetData sheetId="1"/>
      <sheetData sheetId="2">
        <row r="11">
          <cell r="C11">
            <v>0.19600000000000001</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id="1" name="DPT" displayName="DPT" ref="A1:A101" totalsRowShown="0" headerRowDxfId="14" dataDxfId="13">
  <autoFilter ref="A1:A101"/>
  <tableColumns count="1">
    <tableColumn id="1" name="Département" dataDxfId="12"/>
  </tableColumns>
  <tableStyleInfo name="TableStyleLight9" showFirstColumn="0" showLastColumn="0" showRowStripes="1" showColumnStripes="0"/>
</table>
</file>

<file path=xl/tables/table2.xml><?xml version="1.0" encoding="utf-8"?>
<table xmlns="http://schemas.openxmlformats.org/spreadsheetml/2006/main" id="2" name="Reseau" displayName="Reseau" ref="C1:C8" totalsRowShown="0" headerRowDxfId="11" dataDxfId="10">
  <autoFilter ref="C1:C8"/>
  <tableColumns count="1">
    <tableColumn id="1" name="Réseau" dataDxfId="9"/>
  </tableColumns>
  <tableStyleInfo name="TableStyleLight9" showFirstColumn="0" showLastColumn="0" showRowStripes="1" showColumnStripes="0"/>
</table>
</file>

<file path=xl/tables/table3.xml><?xml version="1.0" encoding="utf-8"?>
<table xmlns="http://schemas.openxmlformats.org/spreadsheetml/2006/main" id="3" name="Annees" displayName="Annees" ref="E1:E3" totalsRowShown="0" headerRowDxfId="8" dataDxfId="7">
  <autoFilter ref="E1:E3"/>
  <tableColumns count="1">
    <tableColumn id="1" name="Années" dataDxfId="6"/>
  </tableColumns>
  <tableStyleInfo name="TableStyleLight9" showFirstColumn="0" showLastColumn="0" showRowStripes="1" showColumnStripes="0"/>
</table>
</file>

<file path=xl/tables/table4.xml><?xml version="1.0" encoding="utf-8"?>
<table xmlns="http://schemas.openxmlformats.org/spreadsheetml/2006/main" id="5" name="Restruct" displayName="Restruct" ref="G1:G6" totalsRowShown="0" headerRowDxfId="5" dataDxfId="4">
  <autoFilter ref="G1:G6"/>
  <tableColumns count="1">
    <tableColumn id="1" name="Restructuration" dataDxfId="3"/>
  </tableColumns>
  <tableStyleInfo name="TableStyleLight9" showFirstColumn="0" showLastColumn="0" showRowStripes="1" showColumnStripes="0"/>
</table>
</file>

<file path=xl/tables/table5.xml><?xml version="1.0" encoding="utf-8"?>
<table xmlns="http://schemas.openxmlformats.org/spreadsheetml/2006/main" id="4" name="Fusion" displayName="Fusion" ref="I1:I6" totalsRowShown="0" headerRowDxfId="2" dataDxfId="1">
  <autoFilter ref="I1:I6"/>
  <tableColumns count="1">
    <tableColumn id="1" name="Fusion"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comments" Target="../comments10.xml"/><Relationship Id="rId4" Type="http://schemas.openxmlformats.org/officeDocument/2006/relationships/vmlDrawing" Target="../drawings/vmlDrawing19.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omments" Target="../comments11.xml"/><Relationship Id="rId4" Type="http://schemas.openxmlformats.org/officeDocument/2006/relationships/vmlDrawing" Target="../drawings/vmlDrawing21.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omments" Target="../comments12.xml"/><Relationship Id="rId4" Type="http://schemas.openxmlformats.org/officeDocument/2006/relationships/vmlDrawing" Target="../drawings/vmlDrawing23.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24.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omments" Target="../comments7.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image" Target="../media/image5.emf"/><Relationship Id="rId5" Type="http://schemas.openxmlformats.org/officeDocument/2006/relationships/control" Target="../activeX/activeX1.xml"/><Relationship Id="rId4" Type="http://schemas.openxmlformats.org/officeDocument/2006/relationships/vmlDrawing" Target="../drawings/vmlDrawing1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enableFormatConditionsCalculation="0"/>
  <dimension ref="A1:I101"/>
  <sheetViews>
    <sheetView workbookViewId="0">
      <selection activeCell="K12" sqref="K12"/>
    </sheetView>
  </sheetViews>
  <sheetFormatPr baseColWidth="10" defaultColWidth="10.85546875" defaultRowHeight="12.75" x14ac:dyDescent="0.2"/>
  <cols>
    <col min="1" max="1" width="29" style="6" customWidth="1"/>
    <col min="2" max="2" width="4.7109375" style="6" customWidth="1"/>
    <col min="3" max="3" width="27" style="6" customWidth="1"/>
    <col min="4" max="4" width="4.7109375" style="6" customWidth="1"/>
    <col min="5" max="5" width="10.85546875" style="6" customWidth="1"/>
    <col min="6" max="6" width="5.7109375" style="6" customWidth="1"/>
    <col min="7" max="7" width="19.85546875" style="6" bestFit="1" customWidth="1"/>
    <col min="8" max="8" width="5.7109375" style="6" customWidth="1"/>
    <col min="9" max="9" width="22" style="6" customWidth="1"/>
    <col min="10" max="16384" width="10.85546875" style="6"/>
  </cols>
  <sheetData>
    <row r="1" spans="1:9" x14ac:dyDescent="0.2">
      <c r="A1" s="67" t="s">
        <v>226</v>
      </c>
      <c r="B1" s="67"/>
      <c r="C1" s="68" t="s">
        <v>102</v>
      </c>
      <c r="E1" s="1640" t="s">
        <v>566</v>
      </c>
      <c r="G1" s="1640" t="s">
        <v>568</v>
      </c>
      <c r="I1" s="1640" t="s">
        <v>569</v>
      </c>
    </row>
    <row r="2" spans="1:9" x14ac:dyDescent="0.2">
      <c r="A2" s="1640" t="s">
        <v>286</v>
      </c>
      <c r="B2" s="1640"/>
      <c r="C2" s="6" t="s">
        <v>103</v>
      </c>
      <c r="E2" s="6">
        <f ca="1">YEAR(TODAY())-2</f>
        <v>2015</v>
      </c>
      <c r="G2" s="1640" t="str">
        <f ca="1">"Avant "&amp;YEAR(TODAY())-2</f>
        <v>Avant 2015</v>
      </c>
      <c r="I2" s="1705" t="s">
        <v>567</v>
      </c>
    </row>
    <row r="3" spans="1:9" x14ac:dyDescent="0.2">
      <c r="A3" s="1640" t="s">
        <v>287</v>
      </c>
      <c r="B3" s="1640"/>
      <c r="C3" s="6" t="s">
        <v>104</v>
      </c>
      <c r="E3" s="6">
        <f ca="1">YEAR(TODAY())-1</f>
        <v>2016</v>
      </c>
      <c r="G3" s="1640" t="str">
        <f ca="1">"Oui en "&amp;YEAR(TODAY())-2</f>
        <v>Oui en 2015</v>
      </c>
      <c r="I3" s="1704" t="str">
        <f ca="1">"Oui avant " &amp;YEAR(TODAY())-2</f>
        <v>Oui avant 2015</v>
      </c>
    </row>
    <row r="4" spans="1:9" x14ac:dyDescent="0.2">
      <c r="A4" s="1640" t="s">
        <v>288</v>
      </c>
      <c r="B4" s="1640"/>
      <c r="C4" s="6" t="s">
        <v>73</v>
      </c>
      <c r="G4" s="1640" t="str">
        <f ca="1">"Oui en "&amp;YEAR(TODAY())-1</f>
        <v>Oui en 2016</v>
      </c>
      <c r="I4" s="1704" t="str">
        <f ca="1">"Oui en " &amp;YEAR(TODAY())-2</f>
        <v>Oui en 2015</v>
      </c>
    </row>
    <row r="5" spans="1:9" x14ac:dyDescent="0.2">
      <c r="A5" s="1640" t="s">
        <v>289</v>
      </c>
      <c r="B5" s="1640"/>
      <c r="C5" s="6" t="s">
        <v>105</v>
      </c>
      <c r="G5" s="1640" t="str">
        <f ca="1">"Oui ou prévue en " &amp;YEAR(TODAY())</f>
        <v>Oui ou prévue en 2017</v>
      </c>
      <c r="I5" s="1704" t="str">
        <f ca="1">"Oui en " &amp;YEAR(TODAY())-1</f>
        <v>Oui en 2016</v>
      </c>
    </row>
    <row r="6" spans="1:9" x14ac:dyDescent="0.2">
      <c r="A6" s="1640" t="s">
        <v>290</v>
      </c>
      <c r="B6" s="1640"/>
      <c r="C6" s="104" t="s">
        <v>100</v>
      </c>
      <c r="G6" s="6" t="s">
        <v>567</v>
      </c>
      <c r="I6" s="6" t="str">
        <f ca="1">"Oui ou prévu en "&amp;YEAR(TODAY())</f>
        <v>Oui ou prévu en 2017</v>
      </c>
    </row>
    <row r="7" spans="1:9" x14ac:dyDescent="0.2">
      <c r="A7" s="1640" t="s">
        <v>291</v>
      </c>
      <c r="B7" s="1640"/>
      <c r="C7" s="104" t="s">
        <v>72</v>
      </c>
    </row>
    <row r="8" spans="1:9" x14ac:dyDescent="0.2">
      <c r="A8" s="1640" t="s">
        <v>292</v>
      </c>
      <c r="B8" s="1640"/>
      <c r="C8" s="6" t="s">
        <v>71</v>
      </c>
    </row>
    <row r="9" spans="1:9" x14ac:dyDescent="0.2">
      <c r="A9" s="1640" t="s">
        <v>293</v>
      </c>
      <c r="B9" s="1640"/>
    </row>
    <row r="10" spans="1:9" x14ac:dyDescent="0.2">
      <c r="A10" s="1640" t="s">
        <v>294</v>
      </c>
      <c r="B10" s="1640"/>
    </row>
    <row r="11" spans="1:9" x14ac:dyDescent="0.2">
      <c r="A11" s="1640" t="s">
        <v>146</v>
      </c>
      <c r="B11" s="1640"/>
    </row>
    <row r="12" spans="1:9" x14ac:dyDescent="0.2">
      <c r="A12" s="1640" t="s">
        <v>147</v>
      </c>
      <c r="B12" s="1640"/>
    </row>
    <row r="13" spans="1:9" x14ac:dyDescent="0.2">
      <c r="A13" s="1640" t="s">
        <v>148</v>
      </c>
      <c r="B13" s="1640"/>
      <c r="C13" s="1355"/>
      <c r="D13" s="3"/>
      <c r="E13" s="3"/>
      <c r="F13" s="3"/>
      <c r="G13" s="3"/>
      <c r="H13" s="3"/>
    </row>
    <row r="14" spans="1:9" x14ac:dyDescent="0.2">
      <c r="A14" s="1640" t="s">
        <v>149</v>
      </c>
      <c r="B14" s="1640"/>
      <c r="C14" s="3"/>
      <c r="D14" s="3"/>
      <c r="E14" s="3"/>
      <c r="F14" s="3"/>
      <c r="G14" s="3"/>
      <c r="H14" s="3"/>
    </row>
    <row r="15" spans="1:9" x14ac:dyDescent="0.2">
      <c r="A15" s="1640" t="s">
        <v>150</v>
      </c>
      <c r="B15" s="1640"/>
      <c r="C15" s="3"/>
      <c r="D15" s="3"/>
      <c r="E15" s="3"/>
      <c r="F15" s="3"/>
      <c r="G15" s="3"/>
      <c r="H15" s="3"/>
    </row>
    <row r="16" spans="1:9" x14ac:dyDescent="0.2">
      <c r="A16" s="1640" t="s">
        <v>151</v>
      </c>
      <c r="B16" s="1640"/>
      <c r="C16" s="6" t="s">
        <v>46</v>
      </c>
      <c r="D16" s="3"/>
      <c r="E16" s="3"/>
      <c r="F16" s="3"/>
      <c r="G16" s="3"/>
      <c r="H16" s="3"/>
    </row>
    <row r="17" spans="1:8" x14ac:dyDescent="0.2">
      <c r="A17" s="1640" t="s">
        <v>152</v>
      </c>
      <c r="B17" s="1640"/>
      <c r="C17" s="3"/>
      <c r="D17" s="3"/>
      <c r="E17" s="3"/>
      <c r="F17" s="3"/>
      <c r="G17" s="3"/>
      <c r="H17" s="3"/>
    </row>
    <row r="18" spans="1:8" x14ac:dyDescent="0.2">
      <c r="A18" s="1640" t="s">
        <v>153</v>
      </c>
      <c r="B18" s="1640"/>
    </row>
    <row r="19" spans="1:8" x14ac:dyDescent="0.2">
      <c r="A19" s="1640" t="s">
        <v>154</v>
      </c>
      <c r="B19" s="1640"/>
      <c r="C19" s="1640"/>
    </row>
    <row r="20" spans="1:8" x14ac:dyDescent="0.2">
      <c r="A20" s="1640" t="s">
        <v>155</v>
      </c>
      <c r="B20" s="1640"/>
    </row>
    <row r="21" spans="1:8" x14ac:dyDescent="0.2">
      <c r="A21" s="1640" t="s">
        <v>156</v>
      </c>
      <c r="B21" s="1640"/>
    </row>
    <row r="22" spans="1:8" x14ac:dyDescent="0.2">
      <c r="A22" s="1640" t="s">
        <v>157</v>
      </c>
      <c r="B22" s="1640"/>
    </row>
    <row r="23" spans="1:8" x14ac:dyDescent="0.2">
      <c r="A23" s="1640" t="s">
        <v>158</v>
      </c>
      <c r="B23" s="1640"/>
    </row>
    <row r="24" spans="1:8" x14ac:dyDescent="0.2">
      <c r="A24" s="1640" t="s">
        <v>159</v>
      </c>
      <c r="B24" s="1640"/>
      <c r="C24" s="1640"/>
    </row>
    <row r="25" spans="1:8" x14ac:dyDescent="0.2">
      <c r="A25" s="1640" t="s">
        <v>160</v>
      </c>
      <c r="B25" s="1640"/>
    </row>
    <row r="26" spans="1:8" x14ac:dyDescent="0.2">
      <c r="A26" s="1640" t="s">
        <v>161</v>
      </c>
      <c r="B26" s="1640"/>
    </row>
    <row r="27" spans="1:8" x14ac:dyDescent="0.2">
      <c r="A27" s="1640" t="s">
        <v>162</v>
      </c>
      <c r="B27" s="1640"/>
    </row>
    <row r="28" spans="1:8" x14ac:dyDescent="0.2">
      <c r="A28" s="1640" t="s">
        <v>163</v>
      </c>
      <c r="B28" s="1640"/>
    </row>
    <row r="29" spans="1:8" x14ac:dyDescent="0.2">
      <c r="A29" s="1640" t="s">
        <v>164</v>
      </c>
      <c r="B29" s="1640"/>
    </row>
    <row r="30" spans="1:8" x14ac:dyDescent="0.2">
      <c r="A30" s="1640" t="s">
        <v>165</v>
      </c>
      <c r="B30" s="1640"/>
    </row>
    <row r="31" spans="1:8" x14ac:dyDescent="0.2">
      <c r="A31" s="1640" t="s">
        <v>517</v>
      </c>
      <c r="B31" s="1640"/>
    </row>
    <row r="32" spans="1:8" x14ac:dyDescent="0.2">
      <c r="A32" s="1640" t="s">
        <v>229</v>
      </c>
      <c r="B32" s="1640"/>
    </row>
    <row r="33" spans="1:2" x14ac:dyDescent="0.2">
      <c r="A33" s="1640" t="s">
        <v>230</v>
      </c>
      <c r="B33" s="1640"/>
    </row>
    <row r="34" spans="1:2" x14ac:dyDescent="0.2">
      <c r="A34" s="1640" t="s">
        <v>231</v>
      </c>
      <c r="B34" s="1640"/>
    </row>
    <row r="35" spans="1:2" x14ac:dyDescent="0.2">
      <c r="A35" s="1640" t="s">
        <v>232</v>
      </c>
      <c r="B35" s="1640"/>
    </row>
    <row r="36" spans="1:2" x14ac:dyDescent="0.2">
      <c r="A36" s="1640" t="s">
        <v>233</v>
      </c>
      <c r="B36" s="1640"/>
    </row>
    <row r="37" spans="1:2" x14ac:dyDescent="0.2">
      <c r="A37" s="1640" t="s">
        <v>234</v>
      </c>
      <c r="B37" s="1640"/>
    </row>
    <row r="38" spans="1:2" x14ac:dyDescent="0.2">
      <c r="A38" s="1640" t="s">
        <v>235</v>
      </c>
      <c r="B38" s="1640"/>
    </row>
    <row r="39" spans="1:2" x14ac:dyDescent="0.2">
      <c r="A39" s="1640" t="s">
        <v>236</v>
      </c>
      <c r="B39" s="1640"/>
    </row>
    <row r="40" spans="1:2" x14ac:dyDescent="0.2">
      <c r="A40" s="1640" t="s">
        <v>237</v>
      </c>
      <c r="B40" s="1640"/>
    </row>
    <row r="41" spans="1:2" x14ac:dyDescent="0.2">
      <c r="A41" s="1640" t="s">
        <v>238</v>
      </c>
      <c r="B41" s="1640"/>
    </row>
    <row r="42" spans="1:2" x14ac:dyDescent="0.2">
      <c r="A42" s="1640" t="s">
        <v>239</v>
      </c>
      <c r="B42" s="1640"/>
    </row>
    <row r="43" spans="1:2" x14ac:dyDescent="0.2">
      <c r="A43" s="1640" t="s">
        <v>240</v>
      </c>
      <c r="B43" s="1640"/>
    </row>
    <row r="44" spans="1:2" x14ac:dyDescent="0.2">
      <c r="A44" s="1640" t="s">
        <v>241</v>
      </c>
      <c r="B44" s="1640"/>
    </row>
    <row r="45" spans="1:2" x14ac:dyDescent="0.2">
      <c r="A45" s="1640" t="s">
        <v>242</v>
      </c>
      <c r="B45" s="1640"/>
    </row>
    <row r="46" spans="1:2" x14ac:dyDescent="0.2">
      <c r="A46" s="1640" t="s">
        <v>243</v>
      </c>
      <c r="B46" s="1640"/>
    </row>
    <row r="47" spans="1:2" x14ac:dyDescent="0.2">
      <c r="A47" s="1640" t="s">
        <v>244</v>
      </c>
      <c r="B47" s="1640"/>
    </row>
    <row r="48" spans="1:2" x14ac:dyDescent="0.2">
      <c r="A48" s="1640" t="s">
        <v>245</v>
      </c>
      <c r="B48" s="1640"/>
    </row>
    <row r="49" spans="1:1" x14ac:dyDescent="0.2">
      <c r="A49" s="6" t="s">
        <v>246</v>
      </c>
    </row>
    <row r="50" spans="1:1" x14ac:dyDescent="0.2">
      <c r="A50" s="6" t="s">
        <v>171</v>
      </c>
    </row>
    <row r="51" spans="1:1" x14ac:dyDescent="0.2">
      <c r="A51" s="6" t="s">
        <v>172</v>
      </c>
    </row>
    <row r="52" spans="1:1" x14ac:dyDescent="0.2">
      <c r="A52" s="6" t="s">
        <v>173</v>
      </c>
    </row>
    <row r="53" spans="1:1" x14ac:dyDescent="0.2">
      <c r="A53" s="6" t="s">
        <v>174</v>
      </c>
    </row>
    <row r="54" spans="1:1" x14ac:dyDescent="0.2">
      <c r="A54" s="6" t="s">
        <v>175</v>
      </c>
    </row>
    <row r="55" spans="1:1" x14ac:dyDescent="0.2">
      <c r="A55" s="6" t="s">
        <v>176</v>
      </c>
    </row>
    <row r="56" spans="1:1" x14ac:dyDescent="0.2">
      <c r="A56" s="6" t="s">
        <v>177</v>
      </c>
    </row>
    <row r="57" spans="1:1" x14ac:dyDescent="0.2">
      <c r="A57" s="6" t="s">
        <v>178</v>
      </c>
    </row>
    <row r="58" spans="1:1" x14ac:dyDescent="0.2">
      <c r="A58" s="6" t="s">
        <v>179</v>
      </c>
    </row>
    <row r="59" spans="1:1" x14ac:dyDescent="0.2">
      <c r="A59" s="6" t="s">
        <v>180</v>
      </c>
    </row>
    <row r="60" spans="1:1" x14ac:dyDescent="0.2">
      <c r="A60" s="6" t="s">
        <v>181</v>
      </c>
    </row>
    <row r="61" spans="1:1" x14ac:dyDescent="0.2">
      <c r="A61" s="6" t="s">
        <v>182</v>
      </c>
    </row>
    <row r="62" spans="1:1" x14ac:dyDescent="0.2">
      <c r="A62" s="6" t="s">
        <v>183</v>
      </c>
    </row>
    <row r="63" spans="1:1" x14ac:dyDescent="0.2">
      <c r="A63" s="6" t="s">
        <v>184</v>
      </c>
    </row>
    <row r="64" spans="1:1" x14ac:dyDescent="0.2">
      <c r="A64" s="6" t="s">
        <v>185</v>
      </c>
    </row>
    <row r="65" spans="1:1" x14ac:dyDescent="0.2">
      <c r="A65" s="6" t="s">
        <v>186</v>
      </c>
    </row>
    <row r="66" spans="1:1" x14ac:dyDescent="0.2">
      <c r="A66" s="6" t="s">
        <v>187</v>
      </c>
    </row>
    <row r="67" spans="1:1" x14ac:dyDescent="0.2">
      <c r="A67" s="6" t="s">
        <v>188</v>
      </c>
    </row>
    <row r="68" spans="1:1" x14ac:dyDescent="0.2">
      <c r="A68" s="6" t="s">
        <v>189</v>
      </c>
    </row>
    <row r="69" spans="1:1" x14ac:dyDescent="0.2">
      <c r="A69" s="6" t="s">
        <v>190</v>
      </c>
    </row>
    <row r="70" spans="1:1" x14ac:dyDescent="0.2">
      <c r="A70" s="6" t="s">
        <v>191</v>
      </c>
    </row>
    <row r="71" spans="1:1" x14ac:dyDescent="0.2">
      <c r="A71" s="6" t="s">
        <v>192</v>
      </c>
    </row>
    <row r="72" spans="1:1" x14ac:dyDescent="0.2">
      <c r="A72" s="6" t="s">
        <v>193</v>
      </c>
    </row>
    <row r="73" spans="1:1" x14ac:dyDescent="0.2">
      <c r="A73" s="6" t="s">
        <v>194</v>
      </c>
    </row>
    <row r="74" spans="1:1" x14ac:dyDescent="0.2">
      <c r="A74" s="6" t="s">
        <v>195</v>
      </c>
    </row>
    <row r="75" spans="1:1" x14ac:dyDescent="0.2">
      <c r="A75" s="6" t="s">
        <v>196</v>
      </c>
    </row>
    <row r="76" spans="1:1" x14ac:dyDescent="0.2">
      <c r="A76" s="6" t="s">
        <v>197</v>
      </c>
    </row>
    <row r="77" spans="1:1" x14ac:dyDescent="0.2">
      <c r="A77" s="6" t="s">
        <v>198</v>
      </c>
    </row>
    <row r="78" spans="1:1" x14ac:dyDescent="0.2">
      <c r="A78" s="6" t="s">
        <v>199</v>
      </c>
    </row>
    <row r="79" spans="1:1" x14ac:dyDescent="0.2">
      <c r="A79" s="6" t="s">
        <v>200</v>
      </c>
    </row>
    <row r="80" spans="1:1" x14ac:dyDescent="0.2">
      <c r="A80" s="6" t="s">
        <v>201</v>
      </c>
    </row>
    <row r="81" spans="1:1" x14ac:dyDescent="0.2">
      <c r="A81" s="6" t="s">
        <v>202</v>
      </c>
    </row>
    <row r="82" spans="1:1" x14ac:dyDescent="0.2">
      <c r="A82" s="6" t="s">
        <v>203</v>
      </c>
    </row>
    <row r="83" spans="1:1" x14ac:dyDescent="0.2">
      <c r="A83" s="6" t="s">
        <v>204</v>
      </c>
    </row>
    <row r="84" spans="1:1" x14ac:dyDescent="0.2">
      <c r="A84" s="6" t="s">
        <v>205</v>
      </c>
    </row>
    <row r="85" spans="1:1" x14ac:dyDescent="0.2">
      <c r="A85" s="6" t="s">
        <v>206</v>
      </c>
    </row>
    <row r="86" spans="1:1" x14ac:dyDescent="0.2">
      <c r="A86" s="6" t="s">
        <v>207</v>
      </c>
    </row>
    <row r="87" spans="1:1" x14ac:dyDescent="0.2">
      <c r="A87" s="6" t="s">
        <v>208</v>
      </c>
    </row>
    <row r="88" spans="1:1" x14ac:dyDescent="0.2">
      <c r="A88" s="6" t="s">
        <v>209</v>
      </c>
    </row>
    <row r="89" spans="1:1" x14ac:dyDescent="0.2">
      <c r="A89" s="6" t="s">
        <v>210</v>
      </c>
    </row>
    <row r="90" spans="1:1" x14ac:dyDescent="0.2">
      <c r="A90" s="6" t="s">
        <v>211</v>
      </c>
    </row>
    <row r="91" spans="1:1" x14ac:dyDescent="0.2">
      <c r="A91" s="6" t="s">
        <v>212</v>
      </c>
    </row>
    <row r="92" spans="1:1" x14ac:dyDescent="0.2">
      <c r="A92" s="6" t="s">
        <v>213</v>
      </c>
    </row>
    <row r="93" spans="1:1" x14ac:dyDescent="0.2">
      <c r="A93" s="6" t="s">
        <v>214</v>
      </c>
    </row>
    <row r="94" spans="1:1" x14ac:dyDescent="0.2">
      <c r="A94" s="6" t="s">
        <v>215</v>
      </c>
    </row>
    <row r="95" spans="1:1" x14ac:dyDescent="0.2">
      <c r="A95" s="6" t="s">
        <v>216</v>
      </c>
    </row>
    <row r="96" spans="1:1" x14ac:dyDescent="0.2">
      <c r="A96" s="6" t="s">
        <v>217</v>
      </c>
    </row>
    <row r="97" spans="1:1" x14ac:dyDescent="0.2">
      <c r="A97" s="6" t="s">
        <v>218</v>
      </c>
    </row>
    <row r="98" spans="1:1" x14ac:dyDescent="0.2">
      <c r="A98" s="6" t="s">
        <v>219</v>
      </c>
    </row>
    <row r="99" spans="1:1" x14ac:dyDescent="0.2">
      <c r="A99" s="6" t="s">
        <v>220</v>
      </c>
    </row>
    <row r="100" spans="1:1" x14ac:dyDescent="0.2">
      <c r="A100" s="6" t="s">
        <v>221</v>
      </c>
    </row>
    <row r="101" spans="1:1" x14ac:dyDescent="0.2">
      <c r="A101" s="6" t="s">
        <v>222</v>
      </c>
    </row>
  </sheetData>
  <sheetProtection password="CC57" sheet="1" objects="1" scenarios="1"/>
  <phoneticPr fontId="50" type="noConversion"/>
  <pageMargins left="0.7" right="0.7" top="0.75" bottom="0.75" header="0.3" footer="0.3"/>
  <tableParts count="5">
    <tablePart r:id="rId1"/>
    <tablePart r:id="rId2"/>
    <tablePart r:id="rId3"/>
    <tablePart r:id="rId4"/>
    <tablePart r:id="rId5"/>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pageSetUpPr fitToPage="1"/>
  </sheetPr>
  <dimension ref="A2:AN93"/>
  <sheetViews>
    <sheetView showGridLines="0" zoomScale="70" zoomScaleNormal="70" zoomScaleSheetLayoutView="100" zoomScalePageLayoutView="80" workbookViewId="0">
      <pane xSplit="3" ySplit="13" topLeftCell="D32" activePane="bottomRight" state="frozen"/>
      <selection activeCell="C14" sqref="C14:D14"/>
      <selection pane="topRight" activeCell="C14" sqref="C14:D14"/>
      <selection pane="bottomLeft" activeCell="C14" sqref="C14:D14"/>
      <selection pane="bottomRight" activeCell="Y16" sqref="Y16:AA16"/>
    </sheetView>
  </sheetViews>
  <sheetFormatPr baseColWidth="10" defaultColWidth="10.85546875" defaultRowHeight="14.25" x14ac:dyDescent="0.25"/>
  <cols>
    <col min="1" max="1" width="2" style="185" customWidth="1"/>
    <col min="2" max="2" width="15.42578125" style="185" customWidth="1"/>
    <col min="3" max="3" width="27.42578125" style="15" customWidth="1"/>
    <col min="4" max="32" width="11.7109375" style="15" customWidth="1"/>
    <col min="33" max="33" width="11.7109375" style="877" customWidth="1"/>
    <col min="34" max="38" width="11.7109375" style="878" customWidth="1"/>
    <col min="39" max="39" width="11.7109375" style="185" customWidth="1"/>
    <col min="40" max="16384" width="10.85546875" style="185"/>
  </cols>
  <sheetData>
    <row r="2" spans="1:40" ht="33" customHeight="1" thickBot="1" x14ac:dyDescent="0.3">
      <c r="B2" s="2203" t="s">
        <v>308</v>
      </c>
      <c r="C2" s="2203"/>
      <c r="D2" s="2203"/>
      <c r="E2" s="2203"/>
      <c r="F2" s="2203"/>
      <c r="G2" s="2203"/>
      <c r="H2" s="2203"/>
      <c r="I2" s="2203"/>
      <c r="J2" s="2203"/>
      <c r="K2" s="2203"/>
      <c r="L2" s="2203"/>
      <c r="M2" s="2203"/>
      <c r="N2" s="2203"/>
      <c r="O2" s="2203"/>
      <c r="P2" s="2203"/>
      <c r="Q2" s="2203"/>
      <c r="R2" s="2203"/>
      <c r="S2" s="2203"/>
      <c r="T2" s="2203"/>
      <c r="U2" s="2203"/>
      <c r="V2" s="2203"/>
      <c r="W2" s="2203"/>
      <c r="X2" s="2203"/>
      <c r="Y2" s="2203"/>
      <c r="Z2" s="2203"/>
      <c r="AA2" s="2203"/>
      <c r="AB2" s="2203"/>
      <c r="AC2" s="2203"/>
      <c r="AD2" s="2203"/>
      <c r="AE2" s="2204"/>
      <c r="AH2" s="1229"/>
      <c r="AI2" s="1229"/>
    </row>
    <row r="3" spans="1:40" ht="15" thickTop="1" x14ac:dyDescent="0.25">
      <c r="B3" s="391"/>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7"/>
      <c r="AD3" s="447"/>
      <c r="AE3" s="447"/>
      <c r="AF3" s="101"/>
      <c r="AG3" s="1230"/>
      <c r="AH3" s="1231"/>
      <c r="AI3" s="1231"/>
      <c r="AJ3" s="1231"/>
      <c r="AK3" s="1231"/>
      <c r="AL3" s="1231"/>
      <c r="AM3" s="192"/>
    </row>
    <row r="4" spans="1:40" s="349" customFormat="1" ht="29.25" customHeight="1" x14ac:dyDescent="0.25">
      <c r="B4" s="2212" t="s">
        <v>542</v>
      </c>
      <c r="C4" s="2213"/>
      <c r="D4" s="2208" t="s">
        <v>295</v>
      </c>
      <c r="E4" s="2209"/>
      <c r="F4" s="2209"/>
      <c r="G4" s="2210"/>
      <c r="H4" s="2120" t="s">
        <v>296</v>
      </c>
      <c r="I4" s="2121"/>
      <c r="J4" s="2121"/>
      <c r="K4" s="2211"/>
      <c r="L4" s="2122" t="s">
        <v>101</v>
      </c>
      <c r="M4" s="2206"/>
      <c r="N4" s="2206"/>
      <c r="O4" s="2207"/>
      <c r="P4" s="2124" t="s">
        <v>299</v>
      </c>
      <c r="Q4" s="2125"/>
      <c r="R4" s="2125"/>
      <c r="S4" s="2205"/>
      <c r="T4" s="2126" t="s">
        <v>495</v>
      </c>
      <c r="U4" s="2206"/>
      <c r="V4" s="2206"/>
      <c r="W4" s="2207"/>
      <c r="X4" s="2216" t="s">
        <v>496</v>
      </c>
      <c r="Y4" s="2131"/>
      <c r="Z4" s="2131"/>
      <c r="AA4" s="2217"/>
      <c r="AB4" s="2214" t="s">
        <v>71</v>
      </c>
      <c r="AC4" s="2128"/>
      <c r="AD4" s="2128"/>
      <c r="AE4" s="2215"/>
      <c r="AF4" s="365"/>
      <c r="AG4" s="2098" t="s">
        <v>497</v>
      </c>
      <c r="AH4" s="2099"/>
      <c r="AI4" s="2099"/>
      <c r="AJ4" s="2099"/>
      <c r="AK4" s="2099"/>
      <c r="AL4" s="2100"/>
      <c r="AM4" s="365"/>
    </row>
    <row r="5" spans="1:40" s="189" customFormat="1" ht="13.5" customHeight="1" x14ac:dyDescent="0.25">
      <c r="B5" s="2212"/>
      <c r="C5" s="2213"/>
      <c r="D5" s="482"/>
      <c r="E5" s="482"/>
      <c r="F5" s="219"/>
      <c r="G5" s="202"/>
      <c r="H5" s="197"/>
      <c r="I5" s="482"/>
      <c r="J5" s="197"/>
      <c r="K5" s="353"/>
      <c r="L5" s="197"/>
      <c r="M5" s="867"/>
      <c r="N5" s="865"/>
      <c r="O5" s="866"/>
      <c r="P5" s="245"/>
      <c r="Q5" s="868"/>
      <c r="R5" s="869"/>
      <c r="S5" s="558"/>
      <c r="T5" s="557"/>
      <c r="U5" s="423"/>
      <c r="V5" s="219"/>
      <c r="W5" s="558"/>
      <c r="X5" s="557"/>
      <c r="Y5" s="423"/>
      <c r="Z5" s="219"/>
      <c r="AA5" s="558"/>
      <c r="AB5" s="480"/>
      <c r="AC5" s="423"/>
      <c r="AD5" s="219"/>
      <c r="AE5" s="558"/>
      <c r="AF5" s="268"/>
      <c r="AG5" s="2101"/>
      <c r="AH5" s="2102"/>
      <c r="AI5" s="2102"/>
      <c r="AJ5" s="2102"/>
      <c r="AK5" s="2102"/>
      <c r="AL5" s="2103"/>
      <c r="AM5" s="268"/>
    </row>
    <row r="6" spans="1:40" s="158" customFormat="1" ht="15.75" customHeight="1" x14ac:dyDescent="0.25">
      <c r="B6" s="2212"/>
      <c r="C6" s="2213"/>
      <c r="D6" s="479">
        <f>'B.3.Comptes passés &amp; en cours'!E4</f>
        <v>2016</v>
      </c>
      <c r="E6" s="506">
        <f>'B.3.Comptes passés &amp; en cours'!E22+1</f>
        <v>2017</v>
      </c>
      <c r="F6" s="507">
        <f>E6+1</f>
        <v>2018</v>
      </c>
      <c r="G6" s="508">
        <f>F6+1</f>
        <v>2019</v>
      </c>
      <c r="H6" s="1193">
        <f>D6</f>
        <v>2016</v>
      </c>
      <c r="I6" s="506">
        <f>E6</f>
        <v>2017</v>
      </c>
      <c r="J6" s="507">
        <f>F6</f>
        <v>2018</v>
      </c>
      <c r="K6" s="559">
        <f>G6</f>
        <v>2019</v>
      </c>
      <c r="L6" s="479">
        <f>D6</f>
        <v>2016</v>
      </c>
      <c r="M6" s="506">
        <f>I6</f>
        <v>2017</v>
      </c>
      <c r="N6" s="507">
        <f>J6</f>
        <v>2018</v>
      </c>
      <c r="O6" s="508">
        <f>K6</f>
        <v>2019</v>
      </c>
      <c r="P6" s="395">
        <f>D6</f>
        <v>2016</v>
      </c>
      <c r="Q6" s="506">
        <f>M6</f>
        <v>2017</v>
      </c>
      <c r="R6" s="507">
        <f>N6</f>
        <v>2018</v>
      </c>
      <c r="S6" s="559">
        <f>O6</f>
        <v>2019</v>
      </c>
      <c r="T6" s="479">
        <f>D6</f>
        <v>2016</v>
      </c>
      <c r="U6" s="506">
        <f>Q6</f>
        <v>2017</v>
      </c>
      <c r="V6" s="507">
        <f>R6</f>
        <v>2018</v>
      </c>
      <c r="W6" s="559">
        <f>S6</f>
        <v>2019</v>
      </c>
      <c r="X6" s="479">
        <f>H6</f>
        <v>2016</v>
      </c>
      <c r="Y6" s="506">
        <f>U6</f>
        <v>2017</v>
      </c>
      <c r="Z6" s="507">
        <f>V6</f>
        <v>2018</v>
      </c>
      <c r="AA6" s="559">
        <f>W6</f>
        <v>2019</v>
      </c>
      <c r="AB6" s="394">
        <f>D6</f>
        <v>2016</v>
      </c>
      <c r="AC6" s="506">
        <f>U6</f>
        <v>2017</v>
      </c>
      <c r="AD6" s="507">
        <f>V6</f>
        <v>2018</v>
      </c>
      <c r="AE6" s="559">
        <f>W6</f>
        <v>2019</v>
      </c>
      <c r="AF6" s="268"/>
      <c r="AG6" s="2104">
        <f>E6</f>
        <v>2017</v>
      </c>
      <c r="AH6" s="2105"/>
      <c r="AI6" s="2106">
        <f>F6</f>
        <v>2018</v>
      </c>
      <c r="AJ6" s="2105"/>
      <c r="AK6" s="2106">
        <f>G6</f>
        <v>2019</v>
      </c>
      <c r="AL6" s="2105"/>
      <c r="AM6" s="193"/>
    </row>
    <row r="7" spans="1:40" s="158" customFormat="1" ht="15.75" customHeight="1" x14ac:dyDescent="0.25">
      <c r="B7" s="433"/>
      <c r="C7" s="199"/>
      <c r="D7" s="235"/>
      <c r="E7" s="235"/>
      <c r="F7" s="220"/>
      <c r="G7" s="199"/>
      <c r="H7" s="1194"/>
      <c r="I7" s="235"/>
      <c r="J7" s="196"/>
      <c r="K7" s="354"/>
      <c r="L7" s="235"/>
      <c r="M7" s="235"/>
      <c r="N7" s="235"/>
      <c r="O7" s="199"/>
      <c r="P7" s="235"/>
      <c r="Q7" s="481"/>
      <c r="R7" s="235"/>
      <c r="S7" s="560"/>
      <c r="T7" s="235"/>
      <c r="U7" s="509"/>
      <c r="V7" s="510"/>
      <c r="W7" s="1562"/>
      <c r="X7" s="235"/>
      <c r="Y7" s="509"/>
      <c r="Z7" s="510"/>
      <c r="AA7" s="1562"/>
      <c r="AB7" s="213"/>
      <c r="AC7" s="235"/>
      <c r="AD7" s="220"/>
      <c r="AE7" s="560"/>
      <c r="AF7" s="268"/>
      <c r="AG7" s="1498" t="s">
        <v>78</v>
      </c>
      <c r="AH7" s="1499" t="s">
        <v>453</v>
      </c>
      <c r="AI7" s="1543" t="s">
        <v>78</v>
      </c>
      <c r="AJ7" s="1544" t="s">
        <v>453</v>
      </c>
      <c r="AK7" s="1545" t="s">
        <v>78</v>
      </c>
      <c r="AL7" s="1499" t="s">
        <v>453</v>
      </c>
      <c r="AM7" s="193"/>
    </row>
    <row r="8" spans="1:40" ht="15" customHeight="1" x14ac:dyDescent="0.25">
      <c r="A8" s="25"/>
      <c r="B8" s="2195" t="s">
        <v>422</v>
      </c>
      <c r="C8" s="2196"/>
      <c r="D8" s="999" t="str">
        <f>'6.Détails activités passés'!E8</f>
        <v>0%</v>
      </c>
      <c r="E8" s="999" t="str">
        <f>'C.4.Répartition effectifs'!N46</f>
        <v>0%</v>
      </c>
      <c r="F8" s="1000" t="str">
        <f>'C.4.Répartition effectifs'!N59</f>
        <v>0%</v>
      </c>
      <c r="G8" s="1001" t="str">
        <f>'C.4.Répartition effectifs'!N72</f>
        <v>0%</v>
      </c>
      <c r="H8" s="1195" t="str">
        <f>'6.Détails activités passés'!H8</f>
        <v>0%</v>
      </c>
      <c r="I8" s="999" t="str">
        <f>'C.4.Répartition effectifs'!N47</f>
        <v>0%</v>
      </c>
      <c r="J8" s="1003" t="str">
        <f>'C.4.Répartition effectifs'!N60</f>
        <v>0%</v>
      </c>
      <c r="K8" s="1004" t="str">
        <f>'C.4.Répartition effectifs'!N73</f>
        <v>0%</v>
      </c>
      <c r="L8" s="999" t="str">
        <f>'6.Détails activités passés'!K8</f>
        <v>0%</v>
      </c>
      <c r="M8" s="999" t="str">
        <f>'C.4.Répartition effectifs'!N48</f>
        <v>0%</v>
      </c>
      <c r="N8" s="999" t="str">
        <f>'C.4.Répartition effectifs'!N61</f>
        <v>0%</v>
      </c>
      <c r="O8" s="1001" t="str">
        <f>'C.4.Répartition effectifs'!N74</f>
        <v>0%</v>
      </c>
      <c r="P8" s="1002" t="str">
        <f>'6.Détails activités passés'!N8</f>
        <v>0%</v>
      </c>
      <c r="Q8" s="999" t="str">
        <f>'C.4.Répartition effectifs'!N49</f>
        <v>0%</v>
      </c>
      <c r="R8" s="999" t="str">
        <f>'C.4.Répartition effectifs'!N62</f>
        <v>0%</v>
      </c>
      <c r="S8" s="1005" t="str">
        <f>'C.4.Répartition effectifs'!N75</f>
        <v>0%</v>
      </c>
      <c r="T8" s="999" t="str">
        <f>'6.Détails activités passés'!Q8</f>
        <v>0%</v>
      </c>
      <c r="U8" s="999" t="str">
        <f>'C.4.Répartition effectifs'!N50</f>
        <v>0%</v>
      </c>
      <c r="V8" s="1000" t="str">
        <f>'C.4.Répartition effectifs'!N63</f>
        <v>0%</v>
      </c>
      <c r="W8" s="1005" t="str">
        <f>'C.4.Répartition effectifs'!N76</f>
        <v>0%</v>
      </c>
      <c r="X8" s="999" t="str">
        <f>'6.Détails activités passés'!T8</f>
        <v>0%</v>
      </c>
      <c r="Y8" s="999">
        <f>'C.4.Répartition effectifs'!R50</f>
        <v>0</v>
      </c>
      <c r="Z8" s="1000">
        <f>'C.4.Répartition effectifs'!R63</f>
        <v>0</v>
      </c>
      <c r="AA8" s="1001">
        <f>'C.4.Répartition effectifs'!R76</f>
        <v>0</v>
      </c>
      <c r="AB8" s="1002" t="str">
        <f>'6.Détails activités passés'!W8</f>
        <v>0%</v>
      </c>
      <c r="AC8" s="999" t="str">
        <f>'C.4.Répartition effectifs'!N52</f>
        <v>0%</v>
      </c>
      <c r="AD8" s="1000" t="str">
        <f>'C.4.Répartition effectifs'!N65</f>
        <v>0%</v>
      </c>
      <c r="AE8" s="1005" t="str">
        <f>'C.4.Répartition effectifs'!N78</f>
        <v>0%</v>
      </c>
      <c r="AF8" s="1206"/>
      <c r="AG8" s="1546"/>
      <c r="AH8" s="1546"/>
      <c r="AI8" s="1546"/>
      <c r="AJ8" s="1546"/>
      <c r="AK8" s="1546"/>
      <c r="AL8" s="1546"/>
      <c r="AM8" s="416"/>
      <c r="AN8" s="437"/>
    </row>
    <row r="9" spans="1:40" ht="15" customHeight="1" x14ac:dyDescent="0.25">
      <c r="A9" s="25"/>
      <c r="B9" s="2193" t="s">
        <v>92</v>
      </c>
      <c r="C9" s="2194"/>
      <c r="D9" s="1178">
        <f>'6.Détails activités passés'!E9</f>
        <v>0</v>
      </c>
      <c r="E9" s="1179"/>
      <c r="F9" s="1007"/>
      <c r="G9" s="1008"/>
      <c r="H9" s="1178">
        <f>'6.Détails activités passés'!H9</f>
        <v>0</v>
      </c>
      <c r="I9" s="1006"/>
      <c r="J9" s="1010"/>
      <c r="K9" s="1011"/>
      <c r="L9" s="1192">
        <f>'6.Détails activités passés'!K9</f>
        <v>0</v>
      </c>
      <c r="M9" s="1006"/>
      <c r="N9" s="1006"/>
      <c r="O9" s="1008"/>
      <c r="P9" s="1009">
        <f>'6.Détails activités passés'!N9</f>
        <v>0</v>
      </c>
      <c r="Q9" s="1012"/>
      <c r="R9" s="1012"/>
      <c r="S9" s="1013"/>
      <c r="T9" s="1175">
        <f>'6.Détails activités passés'!Q9</f>
        <v>0</v>
      </c>
      <c r="U9" s="1006"/>
      <c r="V9" s="1007"/>
      <c r="W9" s="1563"/>
      <c r="X9" s="1559">
        <f>'6.Détails activités passés'!T9</f>
        <v>0</v>
      </c>
      <c r="Y9" s="1006"/>
      <c r="Z9" s="1007"/>
      <c r="AA9" s="1008"/>
      <c r="AB9" s="1178">
        <f>'6.Détails activités passés'!W9</f>
        <v>0</v>
      </c>
      <c r="AC9" s="1012"/>
      <c r="AD9" s="1014"/>
      <c r="AE9" s="1013"/>
      <c r="AF9" s="1206"/>
      <c r="AG9" s="1547">
        <f>E9+I9+M9+Q9+U9+Y9+AC9</f>
        <v>0</v>
      </c>
      <c r="AH9" s="1503">
        <f>IF(E9+I9+M9+Q9+U9+Y9+AC9=100%," ok",E9+I9+M9+Q9+U9+Y9+AC9-100%)</f>
        <v>-1</v>
      </c>
      <c r="AI9" s="1548">
        <f>F9+J9+N9+R9+V9+Z9+AD9</f>
        <v>0</v>
      </c>
      <c r="AJ9" s="1549">
        <f>IF(F9+J9+N9+R9+V9+Z9+AD9=100%," ok",F9+J9+N9+R9+V9+Z9+AD9-100%)</f>
        <v>-1</v>
      </c>
      <c r="AK9" s="1550">
        <f>G9+K9+O9+S9+W9+AA9+AE9</f>
        <v>0</v>
      </c>
      <c r="AL9" s="1549">
        <f>IF(G9+K9+O9+S9+W9+AA9+AE9=100%," ok",G9+K9+O9+S9+W9+AA9+AE9-100%)</f>
        <v>-1</v>
      </c>
      <c r="AM9" s="192"/>
    </row>
    <row r="10" spans="1:40" s="160" customFormat="1" x14ac:dyDescent="0.25">
      <c r="A10" s="83"/>
      <c r="B10" s="434"/>
      <c r="C10" s="435"/>
      <c r="D10" s="236"/>
      <c r="E10" s="236"/>
      <c r="F10" s="221"/>
      <c r="G10" s="203"/>
      <c r="H10" s="214"/>
      <c r="I10" s="236"/>
      <c r="J10" s="229"/>
      <c r="K10" s="355"/>
      <c r="L10" s="236"/>
      <c r="M10" s="236"/>
      <c r="N10" s="236"/>
      <c r="O10" s="203"/>
      <c r="P10" s="214"/>
      <c r="Q10" s="236"/>
      <c r="R10" s="236"/>
      <c r="S10" s="561"/>
      <c r="T10" s="1191"/>
      <c r="U10" s="236"/>
      <c r="V10" s="221"/>
      <c r="W10" s="561"/>
      <c r="X10" s="1560"/>
      <c r="Y10" s="236"/>
      <c r="Z10" s="221"/>
      <c r="AA10" s="203"/>
      <c r="AB10" s="214"/>
      <c r="AC10" s="236"/>
      <c r="AD10" s="221"/>
      <c r="AE10" s="561"/>
      <c r="AF10" s="389"/>
      <c r="AG10" s="1558"/>
      <c r="AH10" s="1508"/>
      <c r="AI10" s="1551"/>
      <c r="AJ10" s="1508"/>
      <c r="AK10" s="1551"/>
      <c r="AL10" s="1552"/>
      <c r="AM10" s="195"/>
    </row>
    <row r="11" spans="1:40" ht="14.25" customHeight="1" x14ac:dyDescent="0.25">
      <c r="A11" s="25"/>
      <c r="B11" s="2218" t="s">
        <v>285</v>
      </c>
      <c r="C11" s="2219"/>
      <c r="D11" s="483">
        <f>'6.Détails activités passés'!E11</f>
        <v>0</v>
      </c>
      <c r="E11" s="483">
        <f>E54</f>
        <v>0</v>
      </c>
      <c r="F11" s="981">
        <f>H54</f>
        <v>0</v>
      </c>
      <c r="G11" s="982">
        <f>K54</f>
        <v>0</v>
      </c>
      <c r="H11" s="489">
        <f>'6.Détails activités passés'!H11</f>
        <v>0</v>
      </c>
      <c r="I11" s="483">
        <f>E61</f>
        <v>0</v>
      </c>
      <c r="J11" s="983">
        <f>H61</f>
        <v>0</v>
      </c>
      <c r="K11" s="984">
        <f>K61</f>
        <v>0</v>
      </c>
      <c r="L11" s="483">
        <f>'6.Détails activités passés'!K11</f>
        <v>0</v>
      </c>
      <c r="M11" s="483">
        <f>E66</f>
        <v>0</v>
      </c>
      <c r="N11" s="483">
        <f>H66</f>
        <v>0</v>
      </c>
      <c r="O11" s="982">
        <f>K66</f>
        <v>0</v>
      </c>
      <c r="P11" s="489">
        <f>'6.Détails activités passés'!N11</f>
        <v>0</v>
      </c>
      <c r="Q11" s="483">
        <f>E71</f>
        <v>0</v>
      </c>
      <c r="R11" s="483">
        <f>H71</f>
        <v>0</v>
      </c>
      <c r="S11" s="985">
        <f>K71</f>
        <v>0</v>
      </c>
      <c r="T11" s="1173"/>
      <c r="U11" s="1054"/>
      <c r="V11" s="1055"/>
      <c r="W11" s="1564"/>
      <c r="X11" s="1054"/>
      <c r="Y11" s="1054"/>
      <c r="Z11" s="1055"/>
      <c r="AA11" s="1056"/>
      <c r="AB11" s="489">
        <f>'6.Détails activités passés'!W11</f>
        <v>0</v>
      </c>
      <c r="AC11" s="483"/>
      <c r="AD11" s="483"/>
      <c r="AE11" s="985"/>
      <c r="AF11" s="1206"/>
      <c r="AG11" s="1546"/>
      <c r="AH11" s="1546"/>
      <c r="AI11" s="1546"/>
      <c r="AJ11" s="1546"/>
      <c r="AK11" s="1546"/>
      <c r="AL11" s="1546"/>
      <c r="AM11" s="192"/>
    </row>
    <row r="12" spans="1:40" ht="14.25" customHeight="1" x14ac:dyDescent="0.25">
      <c r="A12" s="25"/>
      <c r="B12" s="2193" t="s">
        <v>94</v>
      </c>
      <c r="C12" s="2194"/>
      <c r="D12" s="1180">
        <f>'6.Détails activités passés'!E12</f>
        <v>0</v>
      </c>
      <c r="E12" s="1181"/>
      <c r="F12" s="572"/>
      <c r="G12" s="1182"/>
      <c r="H12" s="1180">
        <f>'6.Détails activités passés'!H12</f>
        <v>0</v>
      </c>
      <c r="I12" s="1181"/>
      <c r="J12" s="1183"/>
      <c r="K12" s="1184"/>
      <c r="L12" s="1185">
        <f>'6.Détails activités passés'!K12</f>
        <v>0</v>
      </c>
      <c r="M12" s="1181"/>
      <c r="N12" s="1181"/>
      <c r="O12" s="1186"/>
      <c r="P12" s="1180">
        <f>'6.Détails activités passés'!N12</f>
        <v>0</v>
      </c>
      <c r="Q12" s="247"/>
      <c r="R12" s="247"/>
      <c r="S12" s="562"/>
      <c r="T12" s="1187"/>
      <c r="U12" s="1188"/>
      <c r="V12" s="1189"/>
      <c r="W12" s="1565"/>
      <c r="X12" s="1188"/>
      <c r="Y12" s="1188"/>
      <c r="Z12" s="1189"/>
      <c r="AA12" s="1190"/>
      <c r="AB12" s="1180">
        <f>'6.Détails activités passés'!W12</f>
        <v>0</v>
      </c>
      <c r="AC12" s="247"/>
      <c r="AD12" s="247"/>
      <c r="AE12" s="562"/>
      <c r="AF12" s="1206"/>
      <c r="AG12" s="1553">
        <f>E12+I12+M12+Q12</f>
        <v>0</v>
      </c>
      <c r="AH12" s="1554"/>
      <c r="AI12" s="1511">
        <f>F12+J12+N12+R12</f>
        <v>0</v>
      </c>
      <c r="AJ12" s="1554"/>
      <c r="AK12" s="1555">
        <f>G12+K12+O12+S12</f>
        <v>0</v>
      </c>
      <c r="AL12" s="1554"/>
      <c r="AM12" s="192"/>
    </row>
    <row r="13" spans="1:40" ht="14.25" customHeight="1" x14ac:dyDescent="0.25">
      <c r="A13" s="25"/>
      <c r="B13" s="436"/>
      <c r="C13" s="432"/>
      <c r="D13" s="484"/>
      <c r="E13" s="237"/>
      <c r="F13" s="222"/>
      <c r="G13" s="204"/>
      <c r="H13" s="490"/>
      <c r="I13" s="237"/>
      <c r="J13" s="232"/>
      <c r="K13" s="358"/>
      <c r="L13" s="484"/>
      <c r="M13" s="237"/>
      <c r="N13" s="237"/>
      <c r="O13" s="204"/>
      <c r="P13" s="490"/>
      <c r="Q13" s="237"/>
      <c r="R13" s="237"/>
      <c r="S13" s="563"/>
      <c r="T13" s="484"/>
      <c r="U13" s="237"/>
      <c r="V13" s="222"/>
      <c r="W13" s="563"/>
      <c r="X13" s="484"/>
      <c r="Y13" s="237"/>
      <c r="Z13" s="222"/>
      <c r="AA13" s="204"/>
      <c r="AB13" s="490"/>
      <c r="AC13" s="237"/>
      <c r="AD13" s="222"/>
      <c r="AE13" s="563"/>
      <c r="AF13" s="368"/>
      <c r="AG13" s="1573"/>
      <c r="AH13" s="1532"/>
      <c r="AI13" s="1556"/>
      <c r="AJ13" s="1541"/>
      <c r="AK13" s="1556"/>
      <c r="AL13" s="1541"/>
      <c r="AM13" s="192"/>
    </row>
    <row r="14" spans="1:40" ht="14.25" customHeight="1" x14ac:dyDescent="0.25">
      <c r="A14" s="188"/>
      <c r="B14" s="2163" t="s">
        <v>457</v>
      </c>
      <c r="C14" s="2164"/>
      <c r="D14" s="485">
        <f>'6.Détails activités passés'!E14</f>
        <v>0</v>
      </c>
      <c r="E14" s="418">
        <f>F54-F53</f>
        <v>0</v>
      </c>
      <c r="F14" s="1329">
        <f>I54-I53</f>
        <v>0</v>
      </c>
      <c r="G14" s="1331">
        <f>L54-L53</f>
        <v>0</v>
      </c>
      <c r="H14" s="485">
        <f>'6.Détails activités passés'!H14</f>
        <v>0</v>
      </c>
      <c r="I14" s="418">
        <f>F61-F60</f>
        <v>0</v>
      </c>
      <c r="J14" s="1332">
        <f>I61-I60</f>
        <v>0</v>
      </c>
      <c r="K14" s="804">
        <f>L61-L60</f>
        <v>0</v>
      </c>
      <c r="L14" s="487">
        <f>'6.Détails activités passés'!K14</f>
        <v>0</v>
      </c>
      <c r="M14" s="238">
        <f>F66-F65</f>
        <v>0</v>
      </c>
      <c r="N14" s="238">
        <f>I66-I65</f>
        <v>0</v>
      </c>
      <c r="O14" s="205">
        <f>L66-L65</f>
        <v>0</v>
      </c>
      <c r="P14" s="485">
        <f>'6.Détails activités passés'!N14</f>
        <v>0</v>
      </c>
      <c r="Q14" s="238">
        <f>F71-F70</f>
        <v>0</v>
      </c>
      <c r="R14" s="238">
        <f>I71-I70</f>
        <v>0</v>
      </c>
      <c r="S14" s="564">
        <f>L71-L70</f>
        <v>0</v>
      </c>
      <c r="T14" s="487">
        <f>'6.Détails activités passés'!Q14</f>
        <v>0</v>
      </c>
      <c r="U14" s="238">
        <f>F74</f>
        <v>0</v>
      </c>
      <c r="V14" s="223">
        <f>I74</f>
        <v>0</v>
      </c>
      <c r="W14" s="564">
        <f>L74</f>
        <v>0</v>
      </c>
      <c r="X14" s="487">
        <f>'6.Détails activités passés'!T14</f>
        <v>0</v>
      </c>
      <c r="Y14" s="238">
        <f>F77</f>
        <v>0</v>
      </c>
      <c r="Z14" s="223">
        <f>I77</f>
        <v>0</v>
      </c>
      <c r="AA14" s="205">
        <f>L77</f>
        <v>0</v>
      </c>
      <c r="AB14" s="485">
        <f>'6.Détails activités passés'!W14</f>
        <v>0</v>
      </c>
      <c r="AC14" s="238">
        <f>F88-F87</f>
        <v>0</v>
      </c>
      <c r="AD14" s="223">
        <f>I88-I87</f>
        <v>0</v>
      </c>
      <c r="AE14" s="564">
        <f>L88-L87</f>
        <v>0</v>
      </c>
      <c r="AF14" s="368"/>
      <c r="AG14" s="1518">
        <f>E14+I14+M14+Q14+U14+Y14+AC14</f>
        <v>0</v>
      </c>
      <c r="AH14" s="1519" t="str">
        <f>IF(E14+I14+M14+Q14+U14+Y14+AC14='7.Budgets prévisionnels'!E7," ok",E14+I14+M14+Q14+U14+Y14+AC14-'7.Budgets prévisionnels'!E7)</f>
        <v xml:space="preserve"> ok</v>
      </c>
      <c r="AI14" s="1575">
        <f>F14+J14+N14+R14+V14+Z14+AD14</f>
        <v>0</v>
      </c>
      <c r="AJ14" s="1557" t="str">
        <f>IF(F14+J14+N14+R14+V14+Z14+AD14='7.Budgets prévisionnels'!F7," ok",F14+J14+N14+R14+V14+Z14+AD14-'7.Budgets prévisionnels'!F7)</f>
        <v xml:space="preserve"> ok</v>
      </c>
      <c r="AK14" s="1578">
        <f>G14+K14+O14+S14+W14+AA14+AE14</f>
        <v>0</v>
      </c>
      <c r="AL14" s="1557" t="str">
        <f>IF(G14+K14+O14+S14+W14+AA14+AE14='7.Budgets prévisionnels'!G7," ok",G14+K14+O14+S14+W14+AA14+AE14-'7.Budgets prévisionnels'!G7)</f>
        <v xml:space="preserve"> ok</v>
      </c>
      <c r="AM14" s="192"/>
    </row>
    <row r="15" spans="1:40" ht="15" customHeight="1" x14ac:dyDescent="0.25">
      <c r="A15" s="188"/>
      <c r="B15" s="2163" t="s">
        <v>90</v>
      </c>
      <c r="C15" s="2164"/>
      <c r="D15" s="417">
        <f>'6.Détails activités passés'!E25</f>
        <v>0</v>
      </c>
      <c r="E15" s="418">
        <f>F53</f>
        <v>0</v>
      </c>
      <c r="F15" s="1329" t="str">
        <f>I53</f>
        <v>0</v>
      </c>
      <c r="G15" s="1331" t="str">
        <f>L53</f>
        <v>0</v>
      </c>
      <c r="H15" s="417">
        <f>'6.Détails activités passés'!H25</f>
        <v>0</v>
      </c>
      <c r="I15" s="418">
        <f>F60</f>
        <v>0</v>
      </c>
      <c r="J15" s="1332" t="str">
        <f>I60</f>
        <v>0</v>
      </c>
      <c r="K15" s="804" t="str">
        <f>L60</f>
        <v>0</v>
      </c>
      <c r="L15" s="418">
        <f>'6.Détails activités passés'!K25</f>
        <v>0</v>
      </c>
      <c r="M15" s="418">
        <f>F65</f>
        <v>0</v>
      </c>
      <c r="N15" s="418" t="str">
        <f>I65</f>
        <v>0</v>
      </c>
      <c r="O15" s="1331" t="str">
        <f>L60</f>
        <v>0</v>
      </c>
      <c r="P15" s="417">
        <f>'6.Détails activités passés'!N25</f>
        <v>0</v>
      </c>
      <c r="Q15" s="418">
        <f>F70</f>
        <v>0</v>
      </c>
      <c r="R15" s="418" t="str">
        <f>I70</f>
        <v>0</v>
      </c>
      <c r="S15" s="804">
        <f>L70</f>
        <v>0</v>
      </c>
      <c r="T15" s="1330"/>
      <c r="U15" s="1350"/>
      <c r="V15" s="1351"/>
      <c r="W15" s="1566"/>
      <c r="X15" s="1350"/>
      <c r="Y15" s="1350"/>
      <c r="Z15" s="1351"/>
      <c r="AA15" s="1352"/>
      <c r="AB15" s="417">
        <f>'6.Détails activités passés'!W25</f>
        <v>0</v>
      </c>
      <c r="AC15" s="418">
        <f>F87</f>
        <v>0</v>
      </c>
      <c r="AD15" s="1329" t="str">
        <f>I87</f>
        <v>0</v>
      </c>
      <c r="AE15" s="804">
        <f>L87</f>
        <v>0</v>
      </c>
      <c r="AF15" s="368"/>
      <c r="AG15" s="1527">
        <f t="shared" ref="AG15:AG37" si="0">E15+I15+M15+Q15+U15+Y15+AC15</f>
        <v>0</v>
      </c>
      <c r="AH15" s="1519" t="str">
        <f>IF(E15+I15+M15+Q15+U15+Y15+AC15='7.Budgets prévisionnels'!E8," ok",E15+I15+M15+Q15+U15+Y15+AC15-'7.Budgets prévisionnels'!E8)</f>
        <v xml:space="preserve"> ok</v>
      </c>
      <c r="AI15" s="1576">
        <f t="shared" ref="AI15:AI37" si="1">F15+J15+N15+R15+V15+Z15+AD15</f>
        <v>0</v>
      </c>
      <c r="AJ15" s="1541" t="str">
        <f>IF(F15+J15+N15+R15+V15+Z15+AD15='7.Budgets prévisionnels'!F8," ok",F15+J15+N15+R15+V15+Z15+AD15-'7.Budgets prévisionnels'!F8)</f>
        <v xml:space="preserve"> ok</v>
      </c>
      <c r="AK15" s="1574">
        <f t="shared" ref="AK15:AK37" si="2">G15+K15+O15+S15+W15+AA15+AE15</f>
        <v>0</v>
      </c>
      <c r="AL15" s="1541" t="str">
        <f>IF(G15+K15+O15+S15+W15+AA15+AE15='7.Budgets prévisionnels'!G8," ok",G15+K15+O15+S15+W15+AA15+AE15-'7.Budgets prévisionnels'!G8)</f>
        <v xml:space="preserve"> ok</v>
      </c>
      <c r="AM15" s="192"/>
    </row>
    <row r="16" spans="1:40" ht="15" customHeight="1" x14ac:dyDescent="0.25">
      <c r="A16" s="188"/>
      <c r="B16" s="2189" t="s">
        <v>91</v>
      </c>
      <c r="C16" s="2190"/>
      <c r="D16" s="417">
        <f>'6.Détails activités passés'!E26</f>
        <v>0</v>
      </c>
      <c r="E16" s="493"/>
      <c r="F16" s="574"/>
      <c r="G16" s="575"/>
      <c r="H16" s="417">
        <f>'6.Détails activités passés'!H26</f>
        <v>0</v>
      </c>
      <c r="I16" s="493"/>
      <c r="J16" s="362"/>
      <c r="K16" s="361"/>
      <c r="L16" s="418">
        <f>'6.Détails activités passés'!K26</f>
        <v>0</v>
      </c>
      <c r="M16" s="493"/>
      <c r="N16" s="493"/>
      <c r="O16" s="575"/>
      <c r="P16" s="417">
        <f>'6.Détails activités passés'!N26</f>
        <v>0</v>
      </c>
      <c r="Q16" s="248"/>
      <c r="R16" s="248"/>
      <c r="S16" s="126"/>
      <c r="T16" s="1174">
        <f>'6.Détails activités passés'!Q26</f>
        <v>0</v>
      </c>
      <c r="U16" s="574"/>
      <c r="V16" s="574"/>
      <c r="W16" s="359"/>
      <c r="X16" s="418">
        <f>'6.Détails activités passés'!T26</f>
        <v>0</v>
      </c>
      <c r="Y16" s="574"/>
      <c r="Z16" s="574"/>
      <c r="AA16" s="1353"/>
      <c r="AB16" s="417">
        <f>'6.Détails activités passés'!W26</f>
        <v>0</v>
      </c>
      <c r="AC16" s="248"/>
      <c r="AD16" s="249"/>
      <c r="AE16" s="126"/>
      <c r="AF16" s="368"/>
      <c r="AG16" s="1527">
        <f t="shared" si="0"/>
        <v>0</v>
      </c>
      <c r="AH16" s="1519" t="str">
        <f>IF(E16+I16+M16+Q16+U16+Y16+AC16='7.Budgets prévisionnels'!E9," ok",E16+I16+M16+Q16+U16+Y16+AC16-'7.Budgets prévisionnels'!E9)</f>
        <v xml:space="preserve"> ok</v>
      </c>
      <c r="AI16" s="1576">
        <f t="shared" si="1"/>
        <v>0</v>
      </c>
      <c r="AJ16" s="1541" t="str">
        <f>IF(F16+J16+N16+R16+V16+Z16+AD16='7.Budgets prévisionnels'!F9," ok",F16+J16+N16+R16+V16+Z16+AD16-'7.Budgets prévisionnels'!F9)</f>
        <v xml:space="preserve"> ok</v>
      </c>
      <c r="AK16" s="1574">
        <f t="shared" si="2"/>
        <v>0</v>
      </c>
      <c r="AL16" s="1541" t="str">
        <f>IF(G16+K16+O16+S16+W16+AA16+AE16='7.Budgets prévisionnels'!G9," ok",G16+K16+O16+S16+W16+AA16+AE16-'7.Budgets prévisionnels'!G9)</f>
        <v xml:space="preserve"> ok</v>
      </c>
      <c r="AM16" s="192"/>
    </row>
    <row r="17" spans="1:39" ht="15" customHeight="1" x14ac:dyDescent="0.25">
      <c r="A17" s="188"/>
      <c r="B17" s="2163" t="s">
        <v>270</v>
      </c>
      <c r="C17" s="2164"/>
      <c r="D17" s="417">
        <f>'6.Détails activités passés'!E27</f>
        <v>0</v>
      </c>
      <c r="E17" s="240">
        <f>'7.Budgets prévisionnels'!$E$10*'8.Détails activités prév.'!E9</f>
        <v>0</v>
      </c>
      <c r="F17" s="240">
        <f>'7.Budgets prévisionnels'!$F$10*'8.Détails activités prév.'!F9</f>
        <v>0</v>
      </c>
      <c r="G17" s="240">
        <f>'7.Budgets prévisionnels'!$G$10*'8.Détails activités prév.'!G9</f>
        <v>0</v>
      </c>
      <c r="H17" s="417">
        <f>'6.Détails activités passés'!H27</f>
        <v>0</v>
      </c>
      <c r="I17" s="240">
        <f>'7.Budgets prévisionnels'!$E$10*'8.Détails activités prév.'!I9</f>
        <v>0</v>
      </c>
      <c r="J17" s="240">
        <f>'7.Budgets prévisionnels'!$F$10*'8.Détails activités prév.'!J9</f>
        <v>0</v>
      </c>
      <c r="K17" s="240">
        <f>'7.Budgets prévisionnels'!$G$10*'8.Détails activités prév.'!K9</f>
        <v>0</v>
      </c>
      <c r="L17" s="418">
        <f>'6.Détails activités passés'!K27</f>
        <v>0</v>
      </c>
      <c r="M17" s="240">
        <f>'7.Budgets prévisionnels'!$E$10*'8.Détails activités prév.'!M9</f>
        <v>0</v>
      </c>
      <c r="N17" s="240">
        <f>'7.Budgets prévisionnels'!$F$10*'8.Détails activités prév.'!N9</f>
        <v>0</v>
      </c>
      <c r="O17" s="240">
        <f>'7.Budgets prévisionnels'!$G$10*'8.Détails activités prév.'!O9</f>
        <v>0</v>
      </c>
      <c r="P17" s="417">
        <f>'6.Détails activités passés'!N27</f>
        <v>0</v>
      </c>
      <c r="Q17" s="240">
        <f>'7.Budgets prévisionnels'!$E$10*'8.Détails activités prév.'!Q9</f>
        <v>0</v>
      </c>
      <c r="R17" s="240">
        <f>'7.Budgets prévisionnels'!$F$10*'8.Détails activités prév.'!R9</f>
        <v>0</v>
      </c>
      <c r="S17" s="1205">
        <f>'7.Budgets prévisionnels'!$G$10*'8.Détails activités prév.'!S9</f>
        <v>0</v>
      </c>
      <c r="T17" s="1174">
        <f>'6.Détails activités passés'!Q27</f>
        <v>0</v>
      </c>
      <c r="U17" s="240">
        <f>'7.Budgets prévisionnels'!$E$10*'8.Détails activités prév.'!U9</f>
        <v>0</v>
      </c>
      <c r="V17" s="240">
        <f>'7.Budgets prévisionnels'!$F$10*'8.Détails activités prév.'!V9</f>
        <v>0</v>
      </c>
      <c r="W17" s="565">
        <f>'7.Budgets prévisionnels'!$G$10*'8.Détails activités prév.'!W9</f>
        <v>0</v>
      </c>
      <c r="X17" s="418">
        <f>'6.Détails activités passés'!T27</f>
        <v>0</v>
      </c>
      <c r="Y17" s="240">
        <f>'7.Budgets prévisionnels'!$E$10*'8.Détails activités prév.'!Y9</f>
        <v>0</v>
      </c>
      <c r="Z17" s="240">
        <f>'7.Budgets prévisionnels'!$F$10*'8.Détails activités prév.'!Z9</f>
        <v>0</v>
      </c>
      <c r="AA17" s="240">
        <f>'7.Budgets prévisionnels'!$G$10*'8.Détails activités prév.'!AA9</f>
        <v>0</v>
      </c>
      <c r="AB17" s="417">
        <f>'6.Détails activités passés'!W27</f>
        <v>0</v>
      </c>
      <c r="AC17" s="240">
        <f>'7.Budgets prévisionnels'!$E$10*'8.Détails activités prév.'!AC9</f>
        <v>0</v>
      </c>
      <c r="AD17" s="240">
        <f>'7.Budgets prévisionnels'!$F$10*'8.Détails activités prév.'!AD9</f>
        <v>0</v>
      </c>
      <c r="AE17" s="870">
        <f>'7.Budgets prévisionnels'!$G$10*'8.Détails activités prév.'!AE9</f>
        <v>0</v>
      </c>
      <c r="AF17" s="368"/>
      <c r="AG17" s="1527">
        <f t="shared" si="0"/>
        <v>0</v>
      </c>
      <c r="AH17" s="1519" t="str">
        <f>IF(E17+I17+M17+Q17+U17+Y17+AC17='7.Budgets prévisionnels'!E10," ok",E17+I17+M17+Q17+U17+Y17+AC17-'7.Budgets prévisionnels'!E10)</f>
        <v xml:space="preserve"> ok</v>
      </c>
      <c r="AI17" s="1576">
        <f t="shared" si="1"/>
        <v>0</v>
      </c>
      <c r="AJ17" s="1541" t="str">
        <f>IF(F17+J17+N17+R17+V17+Z17+AD17='7.Budgets prévisionnels'!F10," ok",F17+J17+N17+R17+V17+Z17+AD17-'7.Budgets prévisionnels'!F10)</f>
        <v xml:space="preserve"> ok</v>
      </c>
      <c r="AK17" s="1574">
        <f t="shared" si="2"/>
        <v>0</v>
      </c>
      <c r="AL17" s="1541" t="str">
        <f>IF(G17+K17+O17+S17+W17+AA17+AE17='7.Budgets prévisionnels'!G10," ok",G17+K17+O17+S17+W17+AA17+AE17-'7.Budgets prévisionnels'!G10)</f>
        <v xml:space="preserve"> ok</v>
      </c>
      <c r="AM17" s="192"/>
    </row>
    <row r="18" spans="1:39" ht="15" customHeight="1" x14ac:dyDescent="0.25">
      <c r="A18" s="188"/>
      <c r="B18" s="2161" t="s">
        <v>85</v>
      </c>
      <c r="C18" s="2162"/>
      <c r="D18" s="1176">
        <f>'6.Détails activités passés'!E28</f>
        <v>0</v>
      </c>
      <c r="E18" s="494"/>
      <c r="F18" s="576"/>
      <c r="G18" s="577"/>
      <c r="H18" s="1176">
        <f>'6.Détails activités passés'!H28</f>
        <v>0</v>
      </c>
      <c r="I18" s="494"/>
      <c r="J18" s="440"/>
      <c r="K18" s="441"/>
      <c r="L18" s="1177">
        <f>'6.Détails activités passés'!K28</f>
        <v>0</v>
      </c>
      <c r="M18" s="494"/>
      <c r="N18" s="494"/>
      <c r="O18" s="577"/>
      <c r="P18" s="1176">
        <f>'6.Détails activités passés'!N28</f>
        <v>0</v>
      </c>
      <c r="Q18" s="443"/>
      <c r="R18" s="443"/>
      <c r="S18" s="566"/>
      <c r="T18" s="1177">
        <f>'6.Détails activités passés'!Q28</f>
        <v>0</v>
      </c>
      <c r="U18" s="494"/>
      <c r="V18" s="576"/>
      <c r="W18" s="798"/>
      <c r="X18" s="1177">
        <f>'6.Détails activités passés'!T28</f>
        <v>0</v>
      </c>
      <c r="Y18" s="494"/>
      <c r="Z18" s="576"/>
      <c r="AA18" s="577"/>
      <c r="AB18" s="1176">
        <f>'6.Détails activités passés'!W28</f>
        <v>0</v>
      </c>
      <c r="AC18" s="443"/>
      <c r="AD18" s="444"/>
      <c r="AE18" s="871"/>
      <c r="AF18" s="368"/>
      <c r="AG18" s="1527">
        <f t="shared" si="0"/>
        <v>0</v>
      </c>
      <c r="AH18" s="1519" t="str">
        <f>IF(E18+I18+M18+Q18+U18+Y18+AC18='7.Budgets prévisionnels'!E11," ok",E18+I18+M18+Q18+U18+Y18+AC18-'7.Budgets prévisionnels'!E11)</f>
        <v xml:space="preserve"> ok</v>
      </c>
      <c r="AI18" s="1576">
        <f t="shared" si="1"/>
        <v>0</v>
      </c>
      <c r="AJ18" s="1541" t="str">
        <f>IF(F18+J18+N18+R18+V18+Z18+AD18='7.Budgets prévisionnels'!F11," ok",F18+J18+N18+R18+V18+Z18+AD18-'7.Budgets prévisionnels'!F11)</f>
        <v xml:space="preserve"> ok</v>
      </c>
      <c r="AK18" s="1574">
        <f t="shared" si="2"/>
        <v>0</v>
      </c>
      <c r="AL18" s="1541" t="str">
        <f>IF(G18+K18+O18+S18+W18+AA18+AE18='7.Budgets prévisionnels'!G11," ok",G18+K18+O18+S18+W18+AA18+AE18-'7.Budgets prévisionnels'!G11)</f>
        <v xml:space="preserve"> ok</v>
      </c>
      <c r="AM18" s="192"/>
    </row>
    <row r="19" spans="1:39" ht="15" customHeight="1" x14ac:dyDescent="0.25">
      <c r="A19" s="188"/>
      <c r="B19" s="2191" t="s">
        <v>86</v>
      </c>
      <c r="C19" s="2192"/>
      <c r="D19" s="1176">
        <f>'6.Détails activités passés'!E29</f>
        <v>0</v>
      </c>
      <c r="E19" s="445">
        <f>'7.Budgets prévisionnels'!$E$12*'8.Détails activités prév.'!E9</f>
        <v>0</v>
      </c>
      <c r="F19" s="445">
        <f>'7.Budgets prévisionnels'!$F$12*'8.Détails activités prév.'!F9</f>
        <v>0</v>
      </c>
      <c r="G19" s="445">
        <f>'7.Budgets prévisionnels'!$G$12*'8.Détails activités prév.'!G9</f>
        <v>0</v>
      </c>
      <c r="H19" s="1176">
        <f>'6.Détails activités passés'!H29</f>
        <v>0</v>
      </c>
      <c r="I19" s="445">
        <f>'7.Budgets prévisionnels'!$E$12*'8.Détails activités prév.'!I9</f>
        <v>0</v>
      </c>
      <c r="J19" s="445">
        <f>'7.Budgets prévisionnels'!$F$12*'8.Détails activités prév.'!J9</f>
        <v>0</v>
      </c>
      <c r="K19" s="567">
        <f>'7.Budgets prévisionnels'!$G$12*'8.Détails activités prév.'!K9</f>
        <v>0</v>
      </c>
      <c r="L19" s="1177">
        <f>'6.Détails activités passés'!K29</f>
        <v>0</v>
      </c>
      <c r="M19" s="445">
        <f>'7.Budgets prévisionnels'!$E$12*'8.Détails activités prév.'!M9</f>
        <v>0</v>
      </c>
      <c r="N19" s="445">
        <f>'7.Budgets prévisionnels'!$F$12*'8.Détails activités prév.'!N9</f>
        <v>0</v>
      </c>
      <c r="O19" s="445">
        <f>'7.Budgets prévisionnels'!$G$12*'8.Détails activités prév.'!O9</f>
        <v>0</v>
      </c>
      <c r="P19" s="1176">
        <f>'6.Détails activités passés'!N29</f>
        <v>0</v>
      </c>
      <c r="Q19" s="445">
        <f>'7.Budgets prévisionnels'!$E$12*'8.Détails activités prév.'!Q9</f>
        <v>0</v>
      </c>
      <c r="R19" s="445">
        <f>'7.Budgets prévisionnels'!$F$12*'8.Détails activités prév.'!R9</f>
        <v>0</v>
      </c>
      <c r="S19" s="567">
        <f>'7.Budgets prévisionnels'!$G$12*'8.Détails activités prév.'!S9</f>
        <v>0</v>
      </c>
      <c r="T19" s="1177">
        <f>'6.Détails activités passés'!Q29</f>
        <v>0</v>
      </c>
      <c r="U19" s="445">
        <f>'7.Budgets prévisionnels'!$E$12*'8.Détails activités prév.'!U9</f>
        <v>0</v>
      </c>
      <c r="V19" s="445">
        <f>'7.Budgets prévisionnels'!$F$12*'8.Détails activités prév.'!V9</f>
        <v>0</v>
      </c>
      <c r="W19" s="567">
        <f>'7.Budgets prévisionnels'!$G$12*'8.Détails activités prév.'!W9</f>
        <v>0</v>
      </c>
      <c r="X19" s="1177">
        <f>'6.Détails activités passés'!T29</f>
        <v>0</v>
      </c>
      <c r="Y19" s="445">
        <f>'7.Budgets prévisionnels'!$E$12*'8.Détails activités prév.'!Y9</f>
        <v>0</v>
      </c>
      <c r="Z19" s="445">
        <f>'7.Budgets prévisionnels'!$F$12*'8.Détails activités prév.'!Z9</f>
        <v>0</v>
      </c>
      <c r="AA19" s="445">
        <f>'7.Budgets prévisionnels'!$G$12*'8.Détails activités prév.'!AA9</f>
        <v>0</v>
      </c>
      <c r="AB19" s="1176">
        <f>'6.Détails activités passés'!W29</f>
        <v>0</v>
      </c>
      <c r="AC19" s="445">
        <f>'7.Budgets prévisionnels'!$E$12*'8.Détails activités prév.'!AC9</f>
        <v>0</v>
      </c>
      <c r="AD19" s="445">
        <f>'7.Budgets prévisionnels'!$F$12*'8.Détails activités prév.'!AD9</f>
        <v>0</v>
      </c>
      <c r="AE19" s="567">
        <f>'7.Budgets prévisionnels'!$G$12*'8.Détails activités prév.'!AE9</f>
        <v>0</v>
      </c>
      <c r="AF19" s="368"/>
      <c r="AG19" s="1527">
        <f t="shared" si="0"/>
        <v>0</v>
      </c>
      <c r="AH19" s="1519" t="str">
        <f>IF(E19+I19+M19+Q19+U19+Y19+AC19='7.Budgets prévisionnels'!E12," ok",E19+I19+M19+Q19+U19+Y19+AC19-'7.Budgets prévisionnels'!E12)</f>
        <v xml:space="preserve"> ok</v>
      </c>
      <c r="AI19" s="1576">
        <f t="shared" si="1"/>
        <v>0</v>
      </c>
      <c r="AJ19" s="1541" t="str">
        <f>IF(F19+J19+N19+R19+V19+Z19+AD19='7.Budgets prévisionnels'!F12," ok",F19+J19+N19+R19+V19+Z19+AD19-'7.Budgets prévisionnels'!F12)</f>
        <v xml:space="preserve"> ok</v>
      </c>
      <c r="AK19" s="1574">
        <f t="shared" si="2"/>
        <v>0</v>
      </c>
      <c r="AL19" s="1541" t="str">
        <f>IF(G19+K19+O19+S19+W19+AA19+AE19='7.Budgets prévisionnels'!G12," ok",G19+K19+O19+S19+W19+AA19+AE19-'7.Budgets prévisionnels'!G12)</f>
        <v xml:space="preserve"> ok</v>
      </c>
      <c r="AM19" s="192"/>
    </row>
    <row r="20" spans="1:39" ht="15" customHeight="1" x14ac:dyDescent="0.25">
      <c r="A20" s="188"/>
      <c r="B20" s="2161" t="s">
        <v>75</v>
      </c>
      <c r="C20" s="2162"/>
      <c r="D20" s="1176">
        <f>'6.Détails activités passés'!E30</f>
        <v>0</v>
      </c>
      <c r="E20" s="494"/>
      <c r="F20" s="576"/>
      <c r="G20" s="577"/>
      <c r="H20" s="1176">
        <f>'6.Détails activités passés'!H30</f>
        <v>0</v>
      </c>
      <c r="I20" s="494"/>
      <c r="J20" s="440"/>
      <c r="K20" s="441"/>
      <c r="L20" s="1177">
        <f>'6.Détails activités passés'!K30</f>
        <v>0</v>
      </c>
      <c r="M20" s="494"/>
      <c r="N20" s="494"/>
      <c r="O20" s="577"/>
      <c r="P20" s="1176">
        <f>'6.Détails activités passés'!N30</f>
        <v>0</v>
      </c>
      <c r="Q20" s="443"/>
      <c r="R20" s="443"/>
      <c r="S20" s="566"/>
      <c r="T20" s="1177">
        <f>'6.Détails activités passés'!Q30</f>
        <v>0</v>
      </c>
      <c r="U20" s="494"/>
      <c r="V20" s="576"/>
      <c r="W20" s="798"/>
      <c r="X20" s="1177">
        <f>'6.Détails activités passés'!T30</f>
        <v>0</v>
      </c>
      <c r="Y20" s="494"/>
      <c r="Z20" s="576"/>
      <c r="AA20" s="577"/>
      <c r="AB20" s="1176">
        <f>'6.Détails activités passés'!W30</f>
        <v>0</v>
      </c>
      <c r="AC20" s="443"/>
      <c r="AD20" s="444"/>
      <c r="AE20" s="566"/>
      <c r="AF20" s="368"/>
      <c r="AG20" s="1527">
        <f t="shared" si="0"/>
        <v>0</v>
      </c>
      <c r="AH20" s="1519" t="str">
        <f>IF(E20+I20+M20+Q20+U20+Y20+AC20='7.Budgets prévisionnels'!E13," ok",E20+I20+M20+Q20+U20+Y20+AC20-'7.Budgets prévisionnels'!E13)</f>
        <v xml:space="preserve"> ok</v>
      </c>
      <c r="AI20" s="1576">
        <f t="shared" si="1"/>
        <v>0</v>
      </c>
      <c r="AJ20" s="1541" t="str">
        <f>IF(F20+J20+N20+R20+V20+Z20+AD20='7.Budgets prévisionnels'!F13," ok",F20+J20+N20+R20+V20+Z20+AD20-'7.Budgets prévisionnels'!F13)</f>
        <v xml:space="preserve"> ok</v>
      </c>
      <c r="AK20" s="1574">
        <f t="shared" si="2"/>
        <v>0</v>
      </c>
      <c r="AL20" s="1541" t="str">
        <f>IF(G20+K20+O20+S20+W20+AA20+AE20='7.Budgets prévisionnels'!G13," ok",G20+K20+O20+S20+W20+AA20+AE20-'7.Budgets prévisionnels'!G13)</f>
        <v xml:space="preserve"> ok</v>
      </c>
      <c r="AM20" s="192"/>
    </row>
    <row r="21" spans="1:39" ht="15" customHeight="1" x14ac:dyDescent="0.25">
      <c r="A21" s="188"/>
      <c r="B21" s="2163" t="s">
        <v>271</v>
      </c>
      <c r="C21" s="2164"/>
      <c r="D21" s="417">
        <f>'6.Détails activités passés'!E31</f>
        <v>0</v>
      </c>
      <c r="E21" s="240">
        <f>'7.Budgets prévisionnels'!$E$14*'8.Détails activités prév.'!E9</f>
        <v>0</v>
      </c>
      <c r="F21" s="240">
        <f>'7.Budgets prévisionnels'!$F$14*'8.Détails activités prév.'!F9</f>
        <v>0</v>
      </c>
      <c r="G21" s="240">
        <f>'7.Budgets prévisionnels'!$G$14*'8.Détails activités prév.'!G9</f>
        <v>0</v>
      </c>
      <c r="H21" s="417">
        <f>'6.Détails activités passés'!H31</f>
        <v>0</v>
      </c>
      <c r="I21" s="240">
        <f>'7.Budgets prévisionnels'!$E$14*'8.Détails activités prév.'!I9</f>
        <v>0</v>
      </c>
      <c r="J21" s="240">
        <f>'7.Budgets prévisionnels'!$F$14*'8.Détails activités prév.'!J9</f>
        <v>0</v>
      </c>
      <c r="K21" s="565">
        <f>'7.Budgets prévisionnels'!$G$14*'8.Détails activités prév.'!K9</f>
        <v>0</v>
      </c>
      <c r="L21" s="418">
        <f>'6.Détails activités passés'!K31</f>
        <v>0</v>
      </c>
      <c r="M21" s="240">
        <f>'7.Budgets prévisionnels'!$E$14*'8.Détails activités prév.'!M9</f>
        <v>0</v>
      </c>
      <c r="N21" s="240">
        <f>'7.Budgets prévisionnels'!$F$14*'8.Détails activités prév.'!N9</f>
        <v>0</v>
      </c>
      <c r="O21" s="240">
        <f>'7.Budgets prévisionnels'!$G$14*'8.Détails activités prév.'!O9</f>
        <v>0</v>
      </c>
      <c r="P21" s="417">
        <f>'6.Détails activités passés'!N31</f>
        <v>0</v>
      </c>
      <c r="Q21" s="240">
        <f>'7.Budgets prévisionnels'!$E$14*'8.Détails activités prév.'!Q9</f>
        <v>0</v>
      </c>
      <c r="R21" s="240">
        <f>'7.Budgets prévisionnels'!$F$14*'8.Détails activités prév.'!R9</f>
        <v>0</v>
      </c>
      <c r="S21" s="565">
        <f>'7.Budgets prévisionnels'!$G$14*'8.Détails activités prév.'!S9</f>
        <v>0</v>
      </c>
      <c r="T21" s="418">
        <f>'6.Détails activités passés'!Q31</f>
        <v>0</v>
      </c>
      <c r="U21" s="240">
        <f>'7.Budgets prévisionnels'!$E$14*'8.Détails activités prév.'!U9</f>
        <v>0</v>
      </c>
      <c r="V21" s="240">
        <f>'7.Budgets prévisionnels'!$F$14*'8.Détails activités prév.'!V9</f>
        <v>0</v>
      </c>
      <c r="W21" s="565">
        <f>'7.Budgets prévisionnels'!$G$14*'8.Détails activités prév.'!W9</f>
        <v>0</v>
      </c>
      <c r="X21" s="418">
        <f>'6.Détails activités passés'!T31</f>
        <v>0</v>
      </c>
      <c r="Y21" s="240">
        <f>'7.Budgets prévisionnels'!$E$14*'8.Détails activités prév.'!Y9</f>
        <v>0</v>
      </c>
      <c r="Z21" s="240">
        <f>'7.Budgets prévisionnels'!$F$14*'8.Détails activités prév.'!Z9</f>
        <v>0</v>
      </c>
      <c r="AA21" s="240">
        <f>'7.Budgets prévisionnels'!$G$14*'8.Détails activités prév.'!AA9</f>
        <v>0</v>
      </c>
      <c r="AB21" s="417">
        <f>'6.Détails activités passés'!W31</f>
        <v>0</v>
      </c>
      <c r="AC21" s="240">
        <f>'7.Budgets prévisionnels'!$E$14*'8.Détails activités prév.'!AC9</f>
        <v>0</v>
      </c>
      <c r="AD21" s="240">
        <f>'7.Budgets prévisionnels'!$F$14*'8.Détails activités prév.'!AD9</f>
        <v>0</v>
      </c>
      <c r="AE21" s="565">
        <f>'7.Budgets prévisionnels'!$G$14*'8.Détails activités prév.'!AE9</f>
        <v>0</v>
      </c>
      <c r="AF21" s="368"/>
      <c r="AG21" s="1527">
        <f t="shared" si="0"/>
        <v>0</v>
      </c>
      <c r="AH21" s="1519" t="str">
        <f>IF(E21+I21+M21+Q21+U21+Y21+AC21='7.Budgets prévisionnels'!E14," ok",E21+I21+M21+Q21+U21+Y21+AC21-'7.Budgets prévisionnels'!E14)</f>
        <v xml:space="preserve"> ok</v>
      </c>
      <c r="AI21" s="1576">
        <f t="shared" si="1"/>
        <v>0</v>
      </c>
      <c r="AJ21" s="1541" t="str">
        <f>IF(F21+J21+N21+R21+V21+Z21+AD21='7.Budgets prévisionnels'!F14," ok",F21+J21+N21+R21+V21+Z21+AD21-'7.Budgets prévisionnels'!F14)</f>
        <v xml:space="preserve"> ok</v>
      </c>
      <c r="AK21" s="1574">
        <f t="shared" si="2"/>
        <v>0</v>
      </c>
      <c r="AL21" s="1541" t="str">
        <f>IF(G21+K21+O21+S21+W21+AA21+AE21='7.Budgets prévisionnels'!G14," ok",G21+K21+O21+S21+W21+AA21+AE21-'7.Budgets prévisionnels'!G14)</f>
        <v xml:space="preserve"> ok</v>
      </c>
      <c r="AM21" s="192"/>
    </row>
    <row r="22" spans="1:39" ht="15" customHeight="1" x14ac:dyDescent="0.25">
      <c r="A22" s="188"/>
      <c r="B22" s="2163" t="s">
        <v>272</v>
      </c>
      <c r="C22" s="2164"/>
      <c r="D22" s="417">
        <f>'6.Détails activités passés'!E32</f>
        <v>0</v>
      </c>
      <c r="E22" s="240">
        <f>'7.Budgets prévisionnels'!$E$15*E9</f>
        <v>0</v>
      </c>
      <c r="F22" s="240">
        <f>'7.Budgets prévisionnels'!$F$15*F9</f>
        <v>0</v>
      </c>
      <c r="G22" s="240">
        <f>'7.Budgets prévisionnels'!$G$15*G9</f>
        <v>0</v>
      </c>
      <c r="H22" s="417">
        <f>'6.Détails activités passés'!H32</f>
        <v>0</v>
      </c>
      <c r="I22" s="240">
        <f>'7.Budgets prévisionnels'!$E$15*I9</f>
        <v>0</v>
      </c>
      <c r="J22" s="240">
        <f>'7.Budgets prévisionnels'!$F$15*J9</f>
        <v>0</v>
      </c>
      <c r="K22" s="565">
        <f>'7.Budgets prévisionnels'!$G$15*K9</f>
        <v>0</v>
      </c>
      <c r="L22" s="418">
        <f>'6.Détails activités passés'!K32</f>
        <v>0</v>
      </c>
      <c r="M22" s="240">
        <f>'7.Budgets prévisionnels'!$E$15*M9</f>
        <v>0</v>
      </c>
      <c r="N22" s="240">
        <f>'7.Budgets prévisionnels'!$F$15*N9</f>
        <v>0</v>
      </c>
      <c r="O22" s="240">
        <f>'7.Budgets prévisionnels'!$G$15*O9</f>
        <v>0</v>
      </c>
      <c r="P22" s="417">
        <f>'6.Détails activités passés'!N32</f>
        <v>0</v>
      </c>
      <c r="Q22" s="240">
        <f>'7.Budgets prévisionnels'!$E$15*Q9</f>
        <v>0</v>
      </c>
      <c r="R22" s="240">
        <f>'7.Budgets prévisionnels'!$F$15*R9</f>
        <v>0</v>
      </c>
      <c r="S22" s="565">
        <f>'7.Budgets prévisionnels'!$G$15*S9</f>
        <v>0</v>
      </c>
      <c r="T22" s="418">
        <f>'6.Détails activités passés'!Q32</f>
        <v>0</v>
      </c>
      <c r="U22" s="240">
        <f>'7.Budgets prévisionnels'!$E$15*U9</f>
        <v>0</v>
      </c>
      <c r="V22" s="240">
        <f>'7.Budgets prévisionnels'!$F$15*V9</f>
        <v>0</v>
      </c>
      <c r="W22" s="565">
        <f>'7.Budgets prévisionnels'!$G$15*W9</f>
        <v>0</v>
      </c>
      <c r="X22" s="418">
        <f>'6.Détails activités passés'!T32</f>
        <v>0</v>
      </c>
      <c r="Y22" s="240">
        <f>'7.Budgets prévisionnels'!$E$15*Y9</f>
        <v>0</v>
      </c>
      <c r="Z22" s="240">
        <f>'7.Budgets prévisionnels'!$F$15*Z9</f>
        <v>0</v>
      </c>
      <c r="AA22" s="240">
        <f>'7.Budgets prévisionnels'!$G$15*AA9</f>
        <v>0</v>
      </c>
      <c r="AB22" s="417">
        <f>'6.Détails activités passés'!W32</f>
        <v>0</v>
      </c>
      <c r="AC22" s="240">
        <f>'7.Budgets prévisionnels'!$E$15*AC9</f>
        <v>0</v>
      </c>
      <c r="AD22" s="240">
        <f>'7.Budgets prévisionnels'!$F$15*AD9</f>
        <v>0</v>
      </c>
      <c r="AE22" s="565">
        <f>'7.Budgets prévisionnels'!$G$15*AE9</f>
        <v>0</v>
      </c>
      <c r="AF22" s="368"/>
      <c r="AG22" s="1527">
        <f t="shared" si="0"/>
        <v>0</v>
      </c>
      <c r="AH22" s="1519" t="str">
        <f>IF(E22+I22+M22+Q22+U22+Y22+AC22='7.Budgets prévisionnels'!E15," ok",E22+I22+M22+Q22+U22+Y22+AC22-'7.Budgets prévisionnels'!E15)</f>
        <v xml:space="preserve"> ok</v>
      </c>
      <c r="AI22" s="1576">
        <f t="shared" si="1"/>
        <v>0</v>
      </c>
      <c r="AJ22" s="1541" t="str">
        <f>IF(F22+J22+N22+R22+V22+Z22+AD22='7.Budgets prévisionnels'!F15," ok",F22+J22+N22+R22+V22+Z22+AD22-'7.Budgets prévisionnels'!F15)</f>
        <v xml:space="preserve"> ok</v>
      </c>
      <c r="AK22" s="1574">
        <f t="shared" si="2"/>
        <v>0</v>
      </c>
      <c r="AL22" s="1541" t="str">
        <f>IF(G22+K22+O22+S22+W22+AA22+AE22='7.Budgets prévisionnels'!G15," ok",G22+K22+O22+S22+W22+AA22+AE22-'7.Budgets prévisionnels'!G15)</f>
        <v xml:space="preserve"> ok</v>
      </c>
      <c r="AM22" s="192"/>
    </row>
    <row r="23" spans="1:39" s="159" customFormat="1" ht="15" x14ac:dyDescent="0.25">
      <c r="A23" s="425"/>
      <c r="B23" s="2157" t="s">
        <v>88</v>
      </c>
      <c r="C23" s="2158"/>
      <c r="D23" s="486">
        <f>'6.Détails activités passés'!E33</f>
        <v>0</v>
      </c>
      <c r="E23" s="241">
        <f>E14+E15+E16+E17+E21+E22</f>
        <v>0</v>
      </c>
      <c r="F23" s="225">
        <f>F14+F15+F16+F17+F21+F22</f>
        <v>0</v>
      </c>
      <c r="G23" s="207">
        <f>G14+G15+G16+G17+G21+G22</f>
        <v>0</v>
      </c>
      <c r="H23" s="486">
        <f>'6.Détails activités passés'!H33</f>
        <v>0</v>
      </c>
      <c r="I23" s="241">
        <f>I14+I15+I16+I17+I21+I22</f>
        <v>0</v>
      </c>
      <c r="J23" s="234">
        <f>J14+J15+J16+J17+J21+J22</f>
        <v>0</v>
      </c>
      <c r="K23" s="360">
        <f>K14+K15+K16+K17+K21+K22</f>
        <v>0</v>
      </c>
      <c r="L23" s="488">
        <f>'6.Détails activités passés'!K33</f>
        <v>0</v>
      </c>
      <c r="M23" s="241">
        <f>M14+M15+M16+M17+M21+M22</f>
        <v>0</v>
      </c>
      <c r="N23" s="241">
        <f>N14+N15+N16+N17+N21+N22</f>
        <v>0</v>
      </c>
      <c r="O23" s="207">
        <f>O14+O15+O16+O17+O21+O22</f>
        <v>0</v>
      </c>
      <c r="P23" s="486">
        <f>'6.Détails activités passés'!N33</f>
        <v>0</v>
      </c>
      <c r="Q23" s="241">
        <f>Q14+Q15+Q16+Q17+Q21+Q22</f>
        <v>0</v>
      </c>
      <c r="R23" s="241">
        <f>R14+R15+R16+R17+R21+R22</f>
        <v>0</v>
      </c>
      <c r="S23" s="568">
        <f>S14+S15+S16+S17+S21+S22</f>
        <v>0</v>
      </c>
      <c r="T23" s="488">
        <f>'6.Détails activités passés'!Q33</f>
        <v>0</v>
      </c>
      <c r="U23" s="241">
        <f>U14+U15+U16+U17+U21+U22</f>
        <v>0</v>
      </c>
      <c r="V23" s="225">
        <f>V14+V15+V16+V17+V21+V22</f>
        <v>0</v>
      </c>
      <c r="W23" s="568">
        <f>W14+W15+W16+W17+W21+W22</f>
        <v>0</v>
      </c>
      <c r="X23" s="488">
        <f>'6.Détails activités passés'!T33</f>
        <v>0</v>
      </c>
      <c r="Y23" s="241">
        <f>Y14+Y15+Y16+Y17+Y21+Y22</f>
        <v>0</v>
      </c>
      <c r="Z23" s="225">
        <f>Z14+Z15+Z16+Z17+Z21+Z22</f>
        <v>0</v>
      </c>
      <c r="AA23" s="207">
        <f>AA14+AA15+AA16+AA17+AA21+AA22</f>
        <v>0</v>
      </c>
      <c r="AB23" s="486">
        <f>'6.Détails activités passés'!W33</f>
        <v>0</v>
      </c>
      <c r="AC23" s="241">
        <f>AC14+AC15+AC16+AC17+AC21+AC22</f>
        <v>0</v>
      </c>
      <c r="AD23" s="225">
        <f>AD14+AD15+AD16+AD17+AD21+AD22</f>
        <v>0</v>
      </c>
      <c r="AE23" s="568">
        <f>AE14+AE15+AE16+AE17+AE21+AE22</f>
        <v>0</v>
      </c>
      <c r="AF23" s="1571"/>
      <c r="AG23" s="1530">
        <f t="shared" si="0"/>
        <v>0</v>
      </c>
      <c r="AH23" s="1529" t="str">
        <f>IF(E23+I23+M23+Q23+U23+Y23+AC23='7.Budgets prévisionnels'!E16," ok",E23+I23+M23+Q23+U23+Y23+AC23-'7.Budgets prévisionnels'!E16)</f>
        <v xml:space="preserve"> ok</v>
      </c>
      <c r="AI23" s="1577">
        <f t="shared" si="1"/>
        <v>0</v>
      </c>
      <c r="AJ23" s="1542" t="str">
        <f>IF(F23+J23+N23+R23+V23+Z23+AD23='7.Budgets prévisionnels'!F16," ok",F23+J23+N23+R23+V23+Z23+AD23-'7.Budgets prévisionnels'!F16)</f>
        <v xml:space="preserve"> ok</v>
      </c>
      <c r="AK23" s="1579">
        <f t="shared" si="2"/>
        <v>0</v>
      </c>
      <c r="AL23" s="1542" t="str">
        <f>IF(G23+K23+O23+S23+W23+AA23+AE23='7.Budgets prévisionnels'!G16," ok",G23+K23+O23+S23+W23+AA23+AE23-'7.Budgets prévisionnels'!G16)</f>
        <v xml:space="preserve"> ok</v>
      </c>
      <c r="AM23" s="191"/>
    </row>
    <row r="24" spans="1:39" ht="15" customHeight="1" x14ac:dyDescent="0.25">
      <c r="A24" s="188"/>
      <c r="B24" s="2189" t="s">
        <v>283</v>
      </c>
      <c r="C24" s="2190"/>
      <c r="D24" s="417">
        <f>'6.Détails activités passés'!E34</f>
        <v>0</v>
      </c>
      <c r="E24" s="493"/>
      <c r="F24" s="574"/>
      <c r="G24" s="575"/>
      <c r="H24" s="417">
        <f>'6.Détails activités passés'!H34</f>
        <v>0</v>
      </c>
      <c r="I24" s="493"/>
      <c r="J24" s="233"/>
      <c r="K24" s="359"/>
      <c r="L24" s="418">
        <f>'6.Détails activités passés'!K34</f>
        <v>0</v>
      </c>
      <c r="M24" s="493"/>
      <c r="N24" s="493"/>
      <c r="O24" s="575"/>
      <c r="P24" s="417">
        <f>'6.Détails activités passés'!N34</f>
        <v>0</v>
      </c>
      <c r="Q24" s="248"/>
      <c r="R24" s="248"/>
      <c r="S24" s="126"/>
      <c r="T24" s="418">
        <f>'6.Détails activités passés'!Q34</f>
        <v>0</v>
      </c>
      <c r="U24" s="493"/>
      <c r="V24" s="574"/>
      <c r="W24" s="361"/>
      <c r="X24" s="418">
        <f>'6.Détails activités passés'!T34</f>
        <v>0</v>
      </c>
      <c r="Y24" s="493"/>
      <c r="Z24" s="574"/>
      <c r="AA24" s="575"/>
      <c r="AB24" s="417">
        <f>'6.Détails activités passés'!W34</f>
        <v>0</v>
      </c>
      <c r="AC24" s="248"/>
      <c r="AD24" s="249"/>
      <c r="AE24" s="126"/>
      <c r="AF24" s="368"/>
      <c r="AG24" s="1527">
        <f t="shared" si="0"/>
        <v>0</v>
      </c>
      <c r="AH24" s="1519" t="str">
        <f>IF(E24+I24+M24+Q24+U24+Y24+AC24='7.Budgets prévisionnels'!E22," ok",E24+I24+M24+Q24+U24+Y24+AC24-'7.Budgets prévisionnels'!E22)</f>
        <v xml:space="preserve"> ok</v>
      </c>
      <c r="AI24" s="1576">
        <f t="shared" si="1"/>
        <v>0</v>
      </c>
      <c r="AJ24" s="1541" t="str">
        <f>IF(F24+J24+N24+R24+V24+Z24+AD24='7.Budgets prévisionnels'!F22," ok",F24+J24+N24+R24+V24+Z24+AD24-'7.Budgets prévisionnels'!F22)</f>
        <v xml:space="preserve"> ok</v>
      </c>
      <c r="AK24" s="1574">
        <f t="shared" si="2"/>
        <v>0</v>
      </c>
      <c r="AL24" s="1541" t="str">
        <f>IF(G24+K24+O24+S24+W24+AA24+AE24='7.Budgets prévisionnels'!G22, " ok",G24+K24+O24+S24+W24+AA24+AE24-'7.Budgets prévisionnels'!G22)</f>
        <v xml:space="preserve"> ok</v>
      </c>
      <c r="AM24" s="192"/>
    </row>
    <row r="25" spans="1:39" ht="15" customHeight="1" x14ac:dyDescent="0.25">
      <c r="A25" s="188"/>
      <c r="B25" s="2163" t="s">
        <v>273</v>
      </c>
      <c r="C25" s="2164"/>
      <c r="D25" s="417">
        <f>'6.Détails activités passés'!E35</f>
        <v>0</v>
      </c>
      <c r="E25" s="800">
        <f>'7.Budgets prévisionnels'!$E$23*'8.Détails activités prév.'!E9</f>
        <v>0</v>
      </c>
      <c r="F25" s="240">
        <f>'7.Budgets prévisionnels'!$F$23*'8.Détails activités prév.'!F9</f>
        <v>0</v>
      </c>
      <c r="G25" s="240">
        <f>'7.Budgets prévisionnels'!$G$23*'8.Détails activités prév.'!G9</f>
        <v>0</v>
      </c>
      <c r="H25" s="417">
        <f>'6.Détails activités passés'!H35</f>
        <v>0</v>
      </c>
      <c r="I25" s="240">
        <f>'7.Budgets prévisionnels'!$E$23*'8.Détails activités prév.'!I9</f>
        <v>0</v>
      </c>
      <c r="J25" s="240">
        <f>'7.Budgets prévisionnels'!$F$23*'8.Détails activités prév.'!J9</f>
        <v>0</v>
      </c>
      <c r="K25" s="565">
        <f>'7.Budgets prévisionnels'!$G$23*'8.Détails activités prév.'!K9</f>
        <v>0</v>
      </c>
      <c r="L25" s="418">
        <f>'6.Détails activités passés'!K35</f>
        <v>0</v>
      </c>
      <c r="M25" s="240">
        <f>'7.Budgets prévisionnels'!$E$23*'8.Détails activités prév.'!M9</f>
        <v>0</v>
      </c>
      <c r="N25" s="240">
        <f>'7.Budgets prévisionnels'!$F$23*'8.Détails activités prév.'!N9</f>
        <v>0</v>
      </c>
      <c r="O25" s="240">
        <f>'7.Budgets prévisionnels'!$G$23*'8.Détails activités prév.'!O9</f>
        <v>0</v>
      </c>
      <c r="P25" s="417">
        <f>'6.Détails activités passés'!N35</f>
        <v>0</v>
      </c>
      <c r="Q25" s="240">
        <f>'7.Budgets prévisionnels'!$E$23*'8.Détails activités prév.'!Q9</f>
        <v>0</v>
      </c>
      <c r="R25" s="240">
        <f>'7.Budgets prévisionnels'!$F$23*'8.Détails activités prév.'!R9</f>
        <v>0</v>
      </c>
      <c r="S25" s="565">
        <f>'7.Budgets prévisionnels'!$G$23*'8.Détails activités prév.'!S9</f>
        <v>0</v>
      </c>
      <c r="T25" s="418">
        <f>'6.Détails activités passés'!Q35</f>
        <v>0</v>
      </c>
      <c r="U25" s="240">
        <f>'7.Budgets prévisionnels'!$E$23*'8.Détails activités prév.'!U9</f>
        <v>0</v>
      </c>
      <c r="V25" s="800">
        <f>'7.Budgets prévisionnels'!$F$23*'8.Détails activités prév.'!V9</f>
        <v>0</v>
      </c>
      <c r="W25" s="565">
        <f>'7.Budgets prévisionnels'!$G$23*'8.Détails activités prév.'!W9</f>
        <v>0</v>
      </c>
      <c r="X25" s="418">
        <f>'6.Détails activités passés'!T35</f>
        <v>0</v>
      </c>
      <c r="Y25" s="240">
        <f>'7.Budgets prévisionnels'!$E$23*'8.Détails activités prév.'!Y9</f>
        <v>0</v>
      </c>
      <c r="Z25" s="800">
        <f>'7.Budgets prévisionnels'!$F$23*'8.Détails activités prév.'!Z9</f>
        <v>0</v>
      </c>
      <c r="AA25" s="240">
        <f>'7.Budgets prévisionnels'!$G$23*'8.Détails activités prév.'!AA9</f>
        <v>0</v>
      </c>
      <c r="AB25" s="417">
        <f>'6.Détails activités passés'!W35</f>
        <v>0</v>
      </c>
      <c r="AC25" s="800">
        <f>'7.Budgets prévisionnels'!$E$23*'8.Détails activités prév.'!AC9</f>
        <v>0</v>
      </c>
      <c r="AD25" s="240">
        <f>'7.Budgets prévisionnels'!$F$23*'8.Détails activités prév.'!AD9</f>
        <v>0</v>
      </c>
      <c r="AE25" s="565">
        <f>'7.Budgets prévisionnels'!$G$23*'8.Détails activités prév.'!AE9</f>
        <v>0</v>
      </c>
      <c r="AF25" s="368"/>
      <c r="AG25" s="1527">
        <f t="shared" si="0"/>
        <v>0</v>
      </c>
      <c r="AH25" s="1519" t="str">
        <f>IF(E25+I25+M25+Q25+U25+Y25+AC25='7.Budgets prévisionnels'!E23," ok",E25+I25+M25+Q25+U25+Y25+AC25-'7.Budgets prévisionnels'!E23)</f>
        <v xml:space="preserve"> ok</v>
      </c>
      <c r="AI25" s="1576">
        <f t="shared" si="1"/>
        <v>0</v>
      </c>
      <c r="AJ25" s="1541" t="str">
        <f>IF(F25+J25+N25+R25+V25+Z25+AD25='7.Budgets prévisionnels'!F23," ok",F25+J25+N25+R25+V25+Z25+AD25-'7.Budgets prévisionnels'!F23)</f>
        <v xml:space="preserve"> ok</v>
      </c>
      <c r="AK25" s="1574">
        <f t="shared" si="2"/>
        <v>0</v>
      </c>
      <c r="AL25" s="1541" t="str">
        <f>IF(G25+K25+O25+S25+W25+AA25+AE25='7.Budgets prévisionnels'!G23, " ok",G25+K25+O25+S25+W25+AA25+AE25-'7.Budgets prévisionnels'!G23)</f>
        <v xml:space="preserve"> ok</v>
      </c>
      <c r="AM25" s="192"/>
    </row>
    <row r="26" spans="1:39" ht="15" customHeight="1" x14ac:dyDescent="0.25">
      <c r="A26" s="188"/>
      <c r="B26" s="2163" t="s">
        <v>274</v>
      </c>
      <c r="C26" s="2164"/>
      <c r="D26" s="417">
        <f>'6.Détails activités passés'!E36</f>
        <v>0</v>
      </c>
      <c r="E26" s="800">
        <f>'7.Budgets prévisionnels'!$E$24*'8.Détails activités prév.'!E9</f>
        <v>0</v>
      </c>
      <c r="F26" s="796">
        <f>'7.Budgets prévisionnels'!$F$24*'8.Détails activités prév.'!F9</f>
        <v>0</v>
      </c>
      <c r="G26" s="240">
        <f>'7.Budgets prévisionnels'!$G$24*'8.Détails activités prév.'!G9</f>
        <v>0</v>
      </c>
      <c r="H26" s="417">
        <f>'6.Détails activités passés'!H36</f>
        <v>0</v>
      </c>
      <c r="I26" s="796">
        <f>'7.Budgets prévisionnels'!$E$24*'8.Détails activités prév.'!I9</f>
        <v>0</v>
      </c>
      <c r="J26" s="796">
        <f>'7.Budgets prévisionnels'!$F$24*'8.Détails activités prév.'!J9</f>
        <v>0</v>
      </c>
      <c r="K26" s="872">
        <f>'7.Budgets prévisionnels'!$G$24*'8.Détails activités prév.'!K9</f>
        <v>0</v>
      </c>
      <c r="L26" s="418">
        <f>'6.Détails activités passés'!K36</f>
        <v>0</v>
      </c>
      <c r="M26" s="796">
        <f>'7.Budgets prévisionnels'!$E$24*'8.Détails activités prév.'!M9</f>
        <v>0</v>
      </c>
      <c r="N26" s="796">
        <f>'7.Budgets prévisionnels'!$F$24*'8.Détails activités prév.'!N9</f>
        <v>0</v>
      </c>
      <c r="O26" s="240">
        <f>'7.Budgets prévisionnels'!$G$24*'8.Détails activités prév.'!O9</f>
        <v>0</v>
      </c>
      <c r="P26" s="417">
        <f>'6.Détails activités passés'!N36</f>
        <v>0</v>
      </c>
      <c r="Q26" s="800">
        <f>'7.Budgets prévisionnels'!$E$24*'8.Détails activités prév.'!Q9</f>
        <v>0</v>
      </c>
      <c r="R26" s="796">
        <f>'7.Budgets prévisionnels'!$F$24*'8.Détails activités prév.'!R9</f>
        <v>0</v>
      </c>
      <c r="S26" s="565">
        <f>'7.Budgets prévisionnels'!$G$24*'8.Détails activités prév.'!S9</f>
        <v>0</v>
      </c>
      <c r="T26" s="418">
        <f>'6.Détails activités passés'!Q36</f>
        <v>0</v>
      </c>
      <c r="U26" s="796">
        <f>'7.Budgets prévisionnels'!$E$24*'8.Détails activités prév.'!U9</f>
        <v>0</v>
      </c>
      <c r="V26" s="800">
        <f>'7.Budgets prévisionnels'!$F$24*'8.Détails activités prév.'!V9</f>
        <v>0</v>
      </c>
      <c r="W26" s="565">
        <f>'7.Budgets prévisionnels'!$G$24*'8.Détails activités prév.'!W9</f>
        <v>0</v>
      </c>
      <c r="X26" s="418">
        <f>'6.Détails activités passés'!T36</f>
        <v>0</v>
      </c>
      <c r="Y26" s="796">
        <f>'7.Budgets prévisionnels'!$E$24*'8.Détails activités prév.'!Y9</f>
        <v>0</v>
      </c>
      <c r="Z26" s="800">
        <f>'7.Budgets prévisionnels'!$F$24*'8.Détails activités prév.'!Z9</f>
        <v>0</v>
      </c>
      <c r="AA26" s="240">
        <f>'7.Budgets prévisionnels'!$G$24*'8.Détails activités prév.'!AA9</f>
        <v>0</v>
      </c>
      <c r="AB26" s="417">
        <f>'6.Détails activités passés'!W36</f>
        <v>0</v>
      </c>
      <c r="AC26" s="800">
        <f>'7.Budgets prévisionnels'!$E$24*'8.Détails activités prév.'!AC9</f>
        <v>0</v>
      </c>
      <c r="AD26" s="796">
        <f>'7.Budgets prévisionnels'!$F$24*'8.Détails activités prév.'!AD9</f>
        <v>0</v>
      </c>
      <c r="AE26" s="565">
        <f>'7.Budgets prévisionnels'!$G$24*'8.Détails activités prév.'!AE9</f>
        <v>0</v>
      </c>
      <c r="AF26" s="368"/>
      <c r="AG26" s="1527">
        <f t="shared" si="0"/>
        <v>0</v>
      </c>
      <c r="AH26" s="1519" t="str">
        <f>IF(E26+I26+M26+Q26+U26+Y26+AC26='7.Budgets prévisionnels'!E24," ok",E26+I26+M26+Q26+U26+Y26+AC26-'7.Budgets prévisionnels'!E24)</f>
        <v xml:space="preserve"> ok</v>
      </c>
      <c r="AI26" s="1576">
        <f t="shared" si="1"/>
        <v>0</v>
      </c>
      <c r="AJ26" s="1541" t="str">
        <f>IF(F26+J26+N26+R26+V26+Z26+AD26='7.Budgets prévisionnels'!F24," ok",F26+J26+N26+R26+V26+Z26+AD26-'7.Budgets prévisionnels'!F24)</f>
        <v xml:space="preserve"> ok</v>
      </c>
      <c r="AK26" s="1574">
        <f t="shared" si="2"/>
        <v>0</v>
      </c>
      <c r="AL26" s="1541" t="str">
        <f>IF(G26+K26+O26+S26+W26+AA26+AE26='7.Budgets prévisionnels'!G24, " ok",G26+K26+O26+S26+W26+AA26+AE26-'7.Budgets prévisionnels'!G24)</f>
        <v xml:space="preserve"> ok</v>
      </c>
      <c r="AM26" s="192"/>
    </row>
    <row r="27" spans="1:39" s="772" customFormat="1" ht="15" customHeight="1" x14ac:dyDescent="0.25">
      <c r="A27" s="773"/>
      <c r="B27" s="2220" t="s">
        <v>275</v>
      </c>
      <c r="C27" s="2164"/>
      <c r="D27" s="417">
        <f>'6.Détails activités passés'!E37</f>
        <v>0</v>
      </c>
      <c r="E27" s="791">
        <f t="shared" ref="E27:AE27" si="3">E28+E29</f>
        <v>0</v>
      </c>
      <c r="F27" s="799">
        <f t="shared" si="3"/>
        <v>0</v>
      </c>
      <c r="G27" s="418">
        <f t="shared" si="3"/>
        <v>0</v>
      </c>
      <c r="H27" s="417">
        <f>'6.Détails activités passés'!H37</f>
        <v>0</v>
      </c>
      <c r="I27" s="799">
        <f t="shared" si="3"/>
        <v>0</v>
      </c>
      <c r="J27" s="799">
        <f t="shared" si="3"/>
        <v>0</v>
      </c>
      <c r="K27" s="873">
        <f t="shared" si="3"/>
        <v>0</v>
      </c>
      <c r="L27" s="418">
        <f>'6.Détails activités passés'!K37</f>
        <v>0</v>
      </c>
      <c r="M27" s="799">
        <f t="shared" si="3"/>
        <v>0</v>
      </c>
      <c r="N27" s="799">
        <f t="shared" si="3"/>
        <v>0</v>
      </c>
      <c r="O27" s="418">
        <f t="shared" si="3"/>
        <v>0</v>
      </c>
      <c r="P27" s="417">
        <f>'6.Détails activités passés'!N37</f>
        <v>0</v>
      </c>
      <c r="Q27" s="791">
        <f t="shared" si="3"/>
        <v>0</v>
      </c>
      <c r="R27" s="799">
        <f t="shared" si="3"/>
        <v>0</v>
      </c>
      <c r="S27" s="804">
        <f t="shared" si="3"/>
        <v>0</v>
      </c>
      <c r="T27" s="418">
        <f>'6.Détails activités passés'!Q37</f>
        <v>0</v>
      </c>
      <c r="U27" s="799">
        <f t="shared" si="3"/>
        <v>0</v>
      </c>
      <c r="V27" s="791">
        <f t="shared" si="3"/>
        <v>0</v>
      </c>
      <c r="W27" s="804">
        <f t="shared" si="3"/>
        <v>0</v>
      </c>
      <c r="X27" s="418">
        <f>'6.Détails activités passés'!T37</f>
        <v>0</v>
      </c>
      <c r="Y27" s="799">
        <f t="shared" ref="Y27:AA27" si="4">Y28+Y29</f>
        <v>0</v>
      </c>
      <c r="Z27" s="791">
        <f t="shared" si="4"/>
        <v>0</v>
      </c>
      <c r="AA27" s="418">
        <f t="shared" si="4"/>
        <v>0</v>
      </c>
      <c r="AB27" s="417">
        <f>'6.Détails activités passés'!W37</f>
        <v>0</v>
      </c>
      <c r="AC27" s="791">
        <f t="shared" si="3"/>
        <v>0</v>
      </c>
      <c r="AD27" s="799">
        <f t="shared" si="3"/>
        <v>0</v>
      </c>
      <c r="AE27" s="804">
        <f t="shared" si="3"/>
        <v>0</v>
      </c>
      <c r="AF27" s="1572"/>
      <c r="AG27" s="1527">
        <f t="shared" si="0"/>
        <v>0</v>
      </c>
      <c r="AH27" s="1519" t="str">
        <f>IF(E27+I27+M27+Q27+U27+Y27+AC27='7.Budgets prévisionnels'!E25," ok",E27+I27+M27+Q27+U27+Y27+AC27-'7.Budgets prévisionnels'!E25)</f>
        <v xml:space="preserve"> ok</v>
      </c>
      <c r="AI27" s="1576">
        <f t="shared" si="1"/>
        <v>0</v>
      </c>
      <c r="AJ27" s="1541" t="str">
        <f>IF(F27+J27+N27+R27+V27+Z27+AD27='7.Budgets prévisionnels'!F25," ok",F27+J27+N27+R27+V27+Z27+AD27-'7.Budgets prévisionnels'!F25)</f>
        <v xml:space="preserve"> ok</v>
      </c>
      <c r="AK27" s="1574">
        <f t="shared" si="2"/>
        <v>0</v>
      </c>
      <c r="AL27" s="1541" t="str">
        <f>IF(G27+K27+O27+S27+W27+AA27+AE27='7.Budgets prévisionnels'!G25, " ok",G27+K27+O27+S27+W27+AA27+AE27-'7.Budgets prévisionnels'!G25)</f>
        <v xml:space="preserve"> ok</v>
      </c>
    </row>
    <row r="28" spans="1:39" s="772" customFormat="1" ht="15" customHeight="1" x14ac:dyDescent="0.25">
      <c r="A28" s="773"/>
      <c r="B28" s="2191" t="s">
        <v>429</v>
      </c>
      <c r="C28" s="2192"/>
      <c r="D28" s="1176">
        <f>'6.Détails activités passés'!E38</f>
        <v>0</v>
      </c>
      <c r="E28" s="784">
        <f>E9*'7.Budgets prévisionnels'!$E$25</f>
        <v>0</v>
      </c>
      <c r="F28" s="797">
        <f>F9*'7.Budgets prévisionnels'!$F$25</f>
        <v>0</v>
      </c>
      <c r="G28" s="785">
        <f>G9*'7.Budgets prévisionnels'!$G$25</f>
        <v>0</v>
      </c>
      <c r="H28" s="1176">
        <f>'6.Détails activités passés'!H38</f>
        <v>0</v>
      </c>
      <c r="I28" s="797">
        <f>I9*'7.Budgets prévisionnels'!$E$25</f>
        <v>0</v>
      </c>
      <c r="J28" s="797">
        <f>J9*'7.Budgets prévisionnels'!$F$25</f>
        <v>0</v>
      </c>
      <c r="K28" s="874">
        <f>K9*'7.Budgets prévisionnels'!$G$25</f>
        <v>0</v>
      </c>
      <c r="L28" s="1177">
        <f>'6.Détails activités passés'!K38</f>
        <v>0</v>
      </c>
      <c r="M28" s="797">
        <f>M9*'7.Budgets prévisionnels'!$E$25</f>
        <v>0</v>
      </c>
      <c r="N28" s="797">
        <f>N9*'7.Budgets prévisionnels'!$F$25</f>
        <v>0</v>
      </c>
      <c r="O28" s="785">
        <f>O9*'7.Budgets prévisionnels'!$G$25</f>
        <v>0</v>
      </c>
      <c r="P28" s="1176">
        <f>'6.Détails activités passés'!N38</f>
        <v>0</v>
      </c>
      <c r="Q28" s="784">
        <f>Q9*'7.Budgets prévisionnels'!$E$25</f>
        <v>0</v>
      </c>
      <c r="R28" s="797">
        <f>R9*'7.Budgets prévisionnels'!$F$25</f>
        <v>0</v>
      </c>
      <c r="S28" s="805">
        <f>S9*'7.Budgets prévisionnels'!$G$25</f>
        <v>0</v>
      </c>
      <c r="T28" s="1177">
        <f>'6.Détails activités passés'!Q38</f>
        <v>0</v>
      </c>
      <c r="U28" s="797">
        <f>U9*'7.Budgets prévisionnels'!$E$25</f>
        <v>0</v>
      </c>
      <c r="V28" s="784">
        <f>V9*'7.Budgets prévisionnels'!$F$25</f>
        <v>0</v>
      </c>
      <c r="W28" s="805">
        <f>W9*'7.Budgets prévisionnels'!$G$25</f>
        <v>0</v>
      </c>
      <c r="X28" s="1177">
        <f>'6.Détails activités passés'!T38</f>
        <v>0</v>
      </c>
      <c r="Y28" s="797">
        <f>Y9*'7.Budgets prévisionnels'!$E$25</f>
        <v>0</v>
      </c>
      <c r="Z28" s="784">
        <f>Z9*'7.Budgets prévisionnels'!$F$25</f>
        <v>0</v>
      </c>
      <c r="AA28" s="785">
        <f>AA9*'7.Budgets prévisionnels'!$G$25</f>
        <v>0</v>
      </c>
      <c r="AB28" s="1176">
        <f>'6.Détails activités passés'!W38</f>
        <v>0</v>
      </c>
      <c r="AC28" s="784">
        <f>AC9*'7.Budgets prévisionnels'!$E$25</f>
        <v>0</v>
      </c>
      <c r="AD28" s="797">
        <f>AD9*'7.Budgets prévisionnels'!$F$25</f>
        <v>0</v>
      </c>
      <c r="AE28" s="805">
        <f>AE9*'7.Budgets prévisionnels'!$G$25</f>
        <v>0</v>
      </c>
      <c r="AF28" s="1572"/>
      <c r="AG28" s="1527">
        <f t="shared" si="0"/>
        <v>0</v>
      </c>
      <c r="AH28" s="1546"/>
      <c r="AI28" s="1576">
        <f t="shared" si="1"/>
        <v>0</v>
      </c>
      <c r="AJ28" s="1546"/>
      <c r="AK28" s="1574">
        <f t="shared" si="2"/>
        <v>0</v>
      </c>
      <c r="AL28" s="1546"/>
    </row>
    <row r="29" spans="1:39" s="772" customFormat="1" ht="15" customHeight="1" x14ac:dyDescent="0.25">
      <c r="A29" s="773"/>
      <c r="B29" s="2161" t="s">
        <v>430</v>
      </c>
      <c r="C29" s="2162"/>
      <c r="D29" s="1176">
        <f>'6.Détails activités passés'!E39</f>
        <v>0</v>
      </c>
      <c r="E29" s="792"/>
      <c r="F29" s="795"/>
      <c r="G29" s="577"/>
      <c r="H29" s="1176">
        <f>'6.Détails activités passés'!H39</f>
        <v>0</v>
      </c>
      <c r="I29" s="795"/>
      <c r="J29" s="795"/>
      <c r="K29" s="823"/>
      <c r="L29" s="1177">
        <f>'6.Détails activités passés'!K39</f>
        <v>0</v>
      </c>
      <c r="M29" s="795"/>
      <c r="N29" s="795"/>
      <c r="O29" s="577"/>
      <c r="P29" s="1176">
        <f>'6.Détails activités passés'!N39</f>
        <v>0</v>
      </c>
      <c r="Q29" s="801"/>
      <c r="R29" s="825"/>
      <c r="S29" s="566"/>
      <c r="T29" s="1177">
        <f>'6.Détails activités passés'!Q39</f>
        <v>0</v>
      </c>
      <c r="U29" s="795"/>
      <c r="V29" s="792"/>
      <c r="W29" s="798"/>
      <c r="X29" s="1177">
        <f>'6.Détails activités passés'!T39</f>
        <v>0</v>
      </c>
      <c r="Y29" s="795"/>
      <c r="Z29" s="792"/>
      <c r="AA29" s="577"/>
      <c r="AB29" s="1176">
        <f>'6.Détails activités passés'!W39</f>
        <v>0</v>
      </c>
      <c r="AC29" s="801"/>
      <c r="AD29" s="825"/>
      <c r="AE29" s="566"/>
      <c r="AF29" s="1572"/>
      <c r="AG29" s="1527">
        <f t="shared" si="0"/>
        <v>0</v>
      </c>
      <c r="AH29" s="1546"/>
      <c r="AI29" s="1576">
        <f t="shared" si="1"/>
        <v>0</v>
      </c>
      <c r="AJ29" s="1546"/>
      <c r="AK29" s="1574">
        <f t="shared" si="2"/>
        <v>0</v>
      </c>
      <c r="AL29" s="1546"/>
    </row>
    <row r="30" spans="1:39" s="772" customFormat="1" ht="15" customHeight="1" x14ac:dyDescent="0.25">
      <c r="A30" s="773"/>
      <c r="B30" s="2161" t="s">
        <v>98</v>
      </c>
      <c r="C30" s="2162"/>
      <c r="D30" s="1176">
        <f>'6.Détails activités passés'!E40</f>
        <v>0</v>
      </c>
      <c r="E30" s="792"/>
      <c r="F30" s="795"/>
      <c r="G30" s="440"/>
      <c r="H30" s="1176">
        <f>'6.Détails activités passés'!H40</f>
        <v>0</v>
      </c>
      <c r="I30" s="795"/>
      <c r="J30" s="795"/>
      <c r="K30" s="823"/>
      <c r="L30" s="1177">
        <f>'6.Détails activités passés'!K40</f>
        <v>0</v>
      </c>
      <c r="M30" s="795"/>
      <c r="N30" s="795"/>
      <c r="O30" s="440"/>
      <c r="P30" s="1176">
        <f>'6.Détails activités passés'!N40</f>
        <v>0</v>
      </c>
      <c r="Q30" s="801"/>
      <c r="R30" s="825"/>
      <c r="S30" s="566"/>
      <c r="T30" s="1177">
        <f>'6.Détails activités passés'!Q40</f>
        <v>0</v>
      </c>
      <c r="U30" s="795"/>
      <c r="V30" s="792"/>
      <c r="W30" s="798"/>
      <c r="X30" s="1177">
        <f>'6.Détails activités passés'!T40</f>
        <v>0</v>
      </c>
      <c r="Y30" s="795"/>
      <c r="Z30" s="792"/>
      <c r="AA30" s="440"/>
      <c r="AB30" s="1176">
        <f>'6.Détails activités passés'!W40</f>
        <v>0</v>
      </c>
      <c r="AC30" s="801"/>
      <c r="AD30" s="825"/>
      <c r="AE30" s="566"/>
      <c r="AF30" s="1572"/>
      <c r="AG30" s="1527">
        <f t="shared" si="0"/>
        <v>0</v>
      </c>
      <c r="AH30" s="1519" t="str">
        <f>IF(E30+I30+M30+Q30+U30+Y30+AC30='7.Budgets prévisionnels'!E26," ok",E30+I30+M30+Q30+U30+Y30+AC30-'7.Budgets prévisionnels'!E26)</f>
        <v xml:space="preserve"> ok</v>
      </c>
      <c r="AI30" s="1576">
        <f t="shared" si="1"/>
        <v>0</v>
      </c>
      <c r="AJ30" s="1541" t="str">
        <f>IF(F30+J30+N30+R30+V30+Z30+AD30='7.Budgets prévisionnels'!F26," ok",F30+J30+N30+R30+V30+Z30+AD30-'7.Budgets prévisionnels'!F26)</f>
        <v xml:space="preserve"> ok</v>
      </c>
      <c r="AK30" s="1574">
        <f t="shared" si="2"/>
        <v>0</v>
      </c>
      <c r="AL30" s="1541" t="str">
        <f>IF(G30+K30+O30+S30+W30+AA30+AE30='7.Budgets prévisionnels'!G26, " ok",G30+K30+O30+S30+W30+AA30+AE30-'7.Budgets prévisionnels'!G26)</f>
        <v xml:space="preserve"> ok</v>
      </c>
    </row>
    <row r="31" spans="1:39" s="772" customFormat="1" ht="15" customHeight="1" x14ac:dyDescent="0.25">
      <c r="A31" s="773"/>
      <c r="B31" s="2220" t="s">
        <v>276</v>
      </c>
      <c r="C31" s="2164"/>
      <c r="D31" s="417">
        <f>'6.Détails activités passés'!E41</f>
        <v>0</v>
      </c>
      <c r="E31" s="791">
        <f t="shared" ref="E31:AE31" si="5">E32+E33</f>
        <v>0</v>
      </c>
      <c r="F31" s="799">
        <f t="shared" si="5"/>
        <v>0</v>
      </c>
      <c r="G31" s="418">
        <f t="shared" si="5"/>
        <v>0</v>
      </c>
      <c r="H31" s="417">
        <f>'6.Détails activités passés'!H41</f>
        <v>0</v>
      </c>
      <c r="I31" s="799">
        <f t="shared" si="5"/>
        <v>0</v>
      </c>
      <c r="J31" s="799">
        <f t="shared" si="5"/>
        <v>0</v>
      </c>
      <c r="K31" s="873">
        <f t="shared" si="5"/>
        <v>0</v>
      </c>
      <c r="L31" s="418">
        <f>'6.Détails activités passés'!K41</f>
        <v>0</v>
      </c>
      <c r="M31" s="799">
        <f t="shared" si="5"/>
        <v>0</v>
      </c>
      <c r="N31" s="799">
        <f t="shared" si="5"/>
        <v>0</v>
      </c>
      <c r="O31" s="418">
        <f t="shared" si="5"/>
        <v>0</v>
      </c>
      <c r="P31" s="417">
        <f>'6.Détails activités passés'!N41</f>
        <v>0</v>
      </c>
      <c r="Q31" s="791">
        <f t="shared" si="5"/>
        <v>0</v>
      </c>
      <c r="R31" s="799">
        <f t="shared" si="5"/>
        <v>0</v>
      </c>
      <c r="S31" s="804">
        <f t="shared" si="5"/>
        <v>0</v>
      </c>
      <c r="T31" s="418">
        <f>'6.Détails activités passés'!Q41</f>
        <v>0</v>
      </c>
      <c r="U31" s="799">
        <f t="shared" si="5"/>
        <v>0</v>
      </c>
      <c r="V31" s="791">
        <f t="shared" si="5"/>
        <v>0</v>
      </c>
      <c r="W31" s="804">
        <f t="shared" si="5"/>
        <v>0</v>
      </c>
      <c r="X31" s="418">
        <f>'6.Détails activités passés'!T41</f>
        <v>0</v>
      </c>
      <c r="Y31" s="799">
        <f t="shared" ref="Y31:AA31" si="6">Y32+Y33</f>
        <v>0</v>
      </c>
      <c r="Z31" s="791">
        <f t="shared" si="6"/>
        <v>0</v>
      </c>
      <c r="AA31" s="418">
        <f t="shared" si="6"/>
        <v>0</v>
      </c>
      <c r="AB31" s="417">
        <f>'6.Détails activités passés'!W41</f>
        <v>0</v>
      </c>
      <c r="AC31" s="791">
        <f t="shared" si="5"/>
        <v>0</v>
      </c>
      <c r="AD31" s="799">
        <f t="shared" si="5"/>
        <v>0</v>
      </c>
      <c r="AE31" s="804">
        <f t="shared" si="5"/>
        <v>0</v>
      </c>
      <c r="AF31" s="1572"/>
      <c r="AG31" s="1527">
        <f t="shared" si="0"/>
        <v>0</v>
      </c>
      <c r="AH31" s="1519" t="str">
        <f>IF(E31+I31+M31+Q31+U31+Y31+AC31='7.Budgets prévisionnels'!E27," ok",E31+I31+M31+Q31+U31+Y31+AC31-'7.Budgets prévisionnels'!E27)</f>
        <v xml:space="preserve"> ok</v>
      </c>
      <c r="AI31" s="1576">
        <f t="shared" si="1"/>
        <v>0</v>
      </c>
      <c r="AJ31" s="1541" t="str">
        <f>IF(F31+J31+N31+R31+V31+Z31+AD31='7.Budgets prévisionnels'!F27," ok",F31+J31+N31+R31+V31+Z31+AD31-'7.Budgets prévisionnels'!F27)</f>
        <v xml:space="preserve"> ok</v>
      </c>
      <c r="AK31" s="1574">
        <f t="shared" si="2"/>
        <v>0</v>
      </c>
      <c r="AL31" s="1541" t="str">
        <f>IF(G31+K31+O31+S31+W31+AA31+AE31='7.Budgets prévisionnels'!G27, " ok",G31+K31+O31+S31+W31+AA31+AE31-'7.Budgets prévisionnels'!G27)</f>
        <v xml:space="preserve"> ok</v>
      </c>
    </row>
    <row r="32" spans="1:39" s="772" customFormat="1" ht="15" customHeight="1" x14ac:dyDescent="0.25">
      <c r="A32" s="773"/>
      <c r="B32" s="2191" t="s">
        <v>429</v>
      </c>
      <c r="C32" s="2192"/>
      <c r="D32" s="1176">
        <f>'6.Détails activités passés'!E42</f>
        <v>0</v>
      </c>
      <c r="E32" s="784">
        <f>E9*'7.Budgets prévisionnels'!$E$27</f>
        <v>0</v>
      </c>
      <c r="F32" s="797">
        <f>F9*'7.Budgets prévisionnels'!$F$27</f>
        <v>0</v>
      </c>
      <c r="G32" s="785">
        <f>G9*'7.Budgets prévisionnels'!$G$27</f>
        <v>0</v>
      </c>
      <c r="H32" s="1176">
        <f>'6.Détails activités passés'!H42</f>
        <v>0</v>
      </c>
      <c r="I32" s="797">
        <f>I9*'7.Budgets prévisionnels'!$E$27</f>
        <v>0</v>
      </c>
      <c r="J32" s="797">
        <f>J9*'7.Budgets prévisionnels'!$F$27</f>
        <v>0</v>
      </c>
      <c r="K32" s="874">
        <f>K9*'7.Budgets prévisionnels'!$G$27</f>
        <v>0</v>
      </c>
      <c r="L32" s="1177">
        <f>'6.Détails activités passés'!K42</f>
        <v>0</v>
      </c>
      <c r="M32" s="797">
        <f>M9*'7.Budgets prévisionnels'!$E$27</f>
        <v>0</v>
      </c>
      <c r="N32" s="797">
        <f>N9*'7.Budgets prévisionnels'!$F$27</f>
        <v>0</v>
      </c>
      <c r="O32" s="785">
        <f>O9*'7.Budgets prévisionnels'!$G$27</f>
        <v>0</v>
      </c>
      <c r="P32" s="1176">
        <f>'6.Détails activités passés'!N42</f>
        <v>0</v>
      </c>
      <c r="Q32" s="784">
        <f>Q9*'7.Budgets prévisionnels'!$E$27</f>
        <v>0</v>
      </c>
      <c r="R32" s="797">
        <f>R9*'7.Budgets prévisionnels'!$F$27</f>
        <v>0</v>
      </c>
      <c r="S32" s="805">
        <f>S9*'7.Budgets prévisionnels'!$G$27</f>
        <v>0</v>
      </c>
      <c r="T32" s="1177">
        <f>'6.Détails activités passés'!Q42</f>
        <v>0</v>
      </c>
      <c r="U32" s="797">
        <f>U9*'7.Budgets prévisionnels'!$E$27</f>
        <v>0</v>
      </c>
      <c r="V32" s="784">
        <f>V9*'7.Budgets prévisionnels'!$F$27</f>
        <v>0</v>
      </c>
      <c r="W32" s="805">
        <f>W9*'7.Budgets prévisionnels'!$G$27</f>
        <v>0</v>
      </c>
      <c r="X32" s="1177">
        <f>'6.Détails activités passés'!T42</f>
        <v>0</v>
      </c>
      <c r="Y32" s="797">
        <f>Y9*'7.Budgets prévisionnels'!$E$27</f>
        <v>0</v>
      </c>
      <c r="Z32" s="784">
        <f>Z9*'7.Budgets prévisionnels'!$F$27</f>
        <v>0</v>
      </c>
      <c r="AA32" s="785">
        <f>AA9*'7.Budgets prévisionnels'!$G$27</f>
        <v>0</v>
      </c>
      <c r="AB32" s="1176">
        <f>'6.Détails activités passés'!W42</f>
        <v>0</v>
      </c>
      <c r="AC32" s="784">
        <f>AC9*'7.Budgets prévisionnels'!$E$27</f>
        <v>0</v>
      </c>
      <c r="AD32" s="797">
        <f>AD9*'7.Budgets prévisionnels'!$F$27</f>
        <v>0</v>
      </c>
      <c r="AE32" s="805">
        <f>AE9*'7.Budgets prévisionnels'!$G$27</f>
        <v>0</v>
      </c>
      <c r="AF32" s="1572"/>
      <c r="AG32" s="1527">
        <f t="shared" si="0"/>
        <v>0</v>
      </c>
      <c r="AH32" s="1546"/>
      <c r="AI32" s="1576">
        <f t="shared" si="1"/>
        <v>0</v>
      </c>
      <c r="AJ32" s="1546"/>
      <c r="AK32" s="1574">
        <f t="shared" si="2"/>
        <v>0</v>
      </c>
      <c r="AL32" s="1546"/>
    </row>
    <row r="33" spans="1:39" s="772" customFormat="1" ht="15" customHeight="1" x14ac:dyDescent="0.25">
      <c r="A33" s="773"/>
      <c r="B33" s="2161" t="s">
        <v>430</v>
      </c>
      <c r="C33" s="2162"/>
      <c r="D33" s="1176">
        <f>'6.Détails activités passés'!E43</f>
        <v>0</v>
      </c>
      <c r="E33" s="792"/>
      <c r="F33" s="795"/>
      <c r="G33" s="577"/>
      <c r="H33" s="1176">
        <f>'6.Détails activités passés'!H43</f>
        <v>0</v>
      </c>
      <c r="I33" s="795"/>
      <c r="J33" s="795"/>
      <c r="K33" s="823"/>
      <c r="L33" s="1177">
        <f>'6.Détails activités passés'!K43</f>
        <v>0</v>
      </c>
      <c r="M33" s="795"/>
      <c r="N33" s="795"/>
      <c r="O33" s="577"/>
      <c r="P33" s="1176">
        <f>'6.Détails activités passés'!N43</f>
        <v>0</v>
      </c>
      <c r="Q33" s="801"/>
      <c r="R33" s="825"/>
      <c r="S33" s="566"/>
      <c r="T33" s="1177">
        <f>'6.Détails activités passés'!Q43</f>
        <v>0</v>
      </c>
      <c r="U33" s="795"/>
      <c r="V33" s="792"/>
      <c r="W33" s="798"/>
      <c r="X33" s="1177">
        <f>'6.Détails activités passés'!T43</f>
        <v>0</v>
      </c>
      <c r="Y33" s="795"/>
      <c r="Z33" s="792"/>
      <c r="AA33" s="577"/>
      <c r="AB33" s="1176">
        <f>'6.Détails activités passés'!W43</f>
        <v>0</v>
      </c>
      <c r="AC33" s="801"/>
      <c r="AD33" s="825"/>
      <c r="AE33" s="566"/>
      <c r="AF33" s="1572"/>
      <c r="AG33" s="1527">
        <f t="shared" si="0"/>
        <v>0</v>
      </c>
      <c r="AH33" s="1546"/>
      <c r="AI33" s="1576">
        <f t="shared" si="1"/>
        <v>0</v>
      </c>
      <c r="AJ33" s="1546"/>
      <c r="AK33" s="1574">
        <f t="shared" si="2"/>
        <v>0</v>
      </c>
      <c r="AL33" s="1546"/>
    </row>
    <row r="34" spans="1:39" s="772" customFormat="1" ht="15" customHeight="1" x14ac:dyDescent="0.25">
      <c r="A34" s="773"/>
      <c r="B34" s="2161" t="s">
        <v>98</v>
      </c>
      <c r="C34" s="2162"/>
      <c r="D34" s="1176">
        <f>'6.Détails activités passés'!E44</f>
        <v>0</v>
      </c>
      <c r="E34" s="792"/>
      <c r="F34" s="795"/>
      <c r="G34" s="440"/>
      <c r="H34" s="1176">
        <f>'6.Détails activités passés'!H44</f>
        <v>0</v>
      </c>
      <c r="I34" s="795"/>
      <c r="J34" s="795"/>
      <c r="K34" s="823"/>
      <c r="L34" s="1177">
        <f>'6.Détails activités passés'!K44</f>
        <v>0</v>
      </c>
      <c r="M34" s="795"/>
      <c r="N34" s="795"/>
      <c r="O34" s="440"/>
      <c r="P34" s="1176">
        <f>'6.Détails activités passés'!N44</f>
        <v>0</v>
      </c>
      <c r="Q34" s="801"/>
      <c r="R34" s="825"/>
      <c r="S34" s="566"/>
      <c r="T34" s="1177">
        <f>'6.Détails activités passés'!Q44</f>
        <v>0</v>
      </c>
      <c r="U34" s="795"/>
      <c r="V34" s="792"/>
      <c r="W34" s="798"/>
      <c r="X34" s="1177">
        <f>'6.Détails activités passés'!T44</f>
        <v>0</v>
      </c>
      <c r="Y34" s="795"/>
      <c r="Z34" s="792"/>
      <c r="AA34" s="440"/>
      <c r="AB34" s="1176">
        <f>'6.Détails activités passés'!W44</f>
        <v>0</v>
      </c>
      <c r="AC34" s="801"/>
      <c r="AD34" s="825"/>
      <c r="AE34" s="566"/>
      <c r="AF34" s="1572"/>
      <c r="AG34" s="1527">
        <f t="shared" si="0"/>
        <v>0</v>
      </c>
      <c r="AH34" s="1519" t="str">
        <f>IF(E34+I34+M34+Q34+U34+Y34+AC34='7.Budgets prévisionnels'!E28," ok",E34+I34+M34+Q34+U34+Y34+AC34-'7.Budgets prévisionnels'!E28)</f>
        <v xml:space="preserve"> ok</v>
      </c>
      <c r="AI34" s="1576">
        <f t="shared" si="1"/>
        <v>0</v>
      </c>
      <c r="AJ34" s="1541" t="str">
        <f>IF(F34+J34+N34+R34+V34+Z34+AD34='7.Budgets prévisionnels'!F28," ok",F34+J34+N34+R34+V34+Z34+AD34-'7.Budgets prévisionnels'!F28)</f>
        <v xml:space="preserve"> ok</v>
      </c>
      <c r="AK34" s="1574">
        <f t="shared" si="2"/>
        <v>0</v>
      </c>
      <c r="AL34" s="1541" t="str">
        <f>IF(G34+K34+O34+S34+W34+AA34+AE34='7.Budgets prévisionnels'!G28, " ok",G34+K34+O34+S34+W34+AA34+AE34-'7.Budgets prévisionnels'!G28)</f>
        <v xml:space="preserve"> ok</v>
      </c>
    </row>
    <row r="35" spans="1:39" ht="15" customHeight="1" x14ac:dyDescent="0.25">
      <c r="A35" s="188"/>
      <c r="B35" s="2163" t="s">
        <v>277</v>
      </c>
      <c r="C35" s="2164"/>
      <c r="D35" s="417">
        <f>'6.Détails activités passés'!E45</f>
        <v>0</v>
      </c>
      <c r="E35" s="800">
        <f>('7.Budgets prévisionnels'!$E$29+'7.Budgets prévisionnels'!$E$30)*'8.Détails activités prév.'!E$9</f>
        <v>0</v>
      </c>
      <c r="F35" s="796">
        <f>('7.Budgets prévisionnels'!$F$29+'7.Budgets prévisionnels'!$F$30)*'8.Détails activités prév.'!F$9</f>
        <v>0</v>
      </c>
      <c r="G35" s="240">
        <f>('7.Budgets prévisionnels'!$G$29+'7.Budgets prévisionnels'!$G$30)*'8.Détails activités prév.'!G$9</f>
        <v>0</v>
      </c>
      <c r="H35" s="417">
        <f>'6.Détails activités passés'!H45</f>
        <v>0</v>
      </c>
      <c r="I35" s="796">
        <f>('7.Budgets prévisionnels'!$E$29+'7.Budgets prévisionnels'!$E$30)*'8.Détails activités prév.'!I$9</f>
        <v>0</v>
      </c>
      <c r="J35" s="796">
        <f>('7.Budgets prévisionnels'!$F$29+'7.Budgets prévisionnels'!$F$30)*'8.Détails activités prév.'!J$9</f>
        <v>0</v>
      </c>
      <c r="K35" s="872">
        <f>('7.Budgets prévisionnels'!$G$29+'7.Budgets prévisionnels'!$G$30)*'8.Détails activités prév.'!K$9</f>
        <v>0</v>
      </c>
      <c r="L35" s="418">
        <f>'6.Détails activités passés'!K45</f>
        <v>0</v>
      </c>
      <c r="M35" s="796">
        <f>('7.Budgets prévisionnels'!$E$29+'7.Budgets prévisionnels'!$E$30)*'8.Détails activités prév.'!M$9</f>
        <v>0</v>
      </c>
      <c r="N35" s="796">
        <f>('7.Budgets prévisionnels'!$F$29+'7.Budgets prévisionnels'!$F$30)*'8.Détails activités prév.'!N$9</f>
        <v>0</v>
      </c>
      <c r="O35" s="240">
        <f>('7.Budgets prévisionnels'!$G$29+'7.Budgets prévisionnels'!$G$30)*'8.Détails activités prév.'!O$9</f>
        <v>0</v>
      </c>
      <c r="P35" s="417">
        <f>'6.Détails activités passés'!N45</f>
        <v>0</v>
      </c>
      <c r="Q35" s="800">
        <f>('7.Budgets prévisionnels'!$E$29+'7.Budgets prévisionnels'!$E$30)*'8.Détails activités prév.'!Q$9</f>
        <v>0</v>
      </c>
      <c r="R35" s="240">
        <f>('7.Budgets prévisionnels'!$F$29+'7.Budgets prévisionnels'!$F$30)*'8.Détails activités prév.'!R$9</f>
        <v>0</v>
      </c>
      <c r="S35" s="565">
        <f>('7.Budgets prévisionnels'!$G$29+'7.Budgets prévisionnels'!$G$30)*'8.Détails activités prév.'!S$9</f>
        <v>0</v>
      </c>
      <c r="T35" s="418">
        <f>'6.Détails activités passés'!Q45</f>
        <v>0</v>
      </c>
      <c r="U35" s="796">
        <f>('7.Budgets prévisionnels'!$E$29+'7.Budgets prévisionnels'!$E$30)*'8.Détails activités prév.'!U$9</f>
        <v>0</v>
      </c>
      <c r="V35" s="240">
        <f>('7.Budgets prévisionnels'!$F$29+'7.Budgets prévisionnels'!$F$30)*'8.Détails activités prév.'!V$9</f>
        <v>0</v>
      </c>
      <c r="W35" s="565">
        <f>('7.Budgets prévisionnels'!$G$29+'7.Budgets prévisionnels'!$G$30)*'8.Détails activités prév.'!W$9</f>
        <v>0</v>
      </c>
      <c r="X35" s="418">
        <f>'6.Détails activités passés'!T45</f>
        <v>0</v>
      </c>
      <c r="Y35" s="796">
        <f>('7.Budgets prévisionnels'!$E$29+'7.Budgets prévisionnels'!$E$30)*'8.Détails activités prév.'!Y$9</f>
        <v>0</v>
      </c>
      <c r="Z35" s="240">
        <f>('7.Budgets prévisionnels'!$F$29+'7.Budgets prévisionnels'!$F$30)*'8.Détails activités prév.'!Z$9</f>
        <v>0</v>
      </c>
      <c r="AA35" s="240">
        <f>('7.Budgets prévisionnels'!$G$29+'7.Budgets prévisionnels'!$G$30)*'8.Détails activités prév.'!AA$9</f>
        <v>0</v>
      </c>
      <c r="AB35" s="417">
        <f>'6.Détails activités passés'!W45</f>
        <v>0</v>
      </c>
      <c r="AC35" s="800">
        <f>('7.Budgets prévisionnels'!$E$29+'7.Budgets prévisionnels'!$E$30)*'8.Détails activités prév.'!AC$9</f>
        <v>0</v>
      </c>
      <c r="AD35" s="240">
        <f>('7.Budgets prévisionnels'!$F$29+'7.Budgets prévisionnels'!$F$30)*'8.Détails activités prév.'!AD$9</f>
        <v>0</v>
      </c>
      <c r="AE35" s="565">
        <f>('7.Budgets prévisionnels'!$G$29+'7.Budgets prévisionnels'!$G$30)*'8.Détails activités prév.'!AE$9</f>
        <v>0</v>
      </c>
      <c r="AF35" s="368"/>
      <c r="AG35" s="1527">
        <f t="shared" si="0"/>
        <v>0</v>
      </c>
      <c r="AH35" s="1519" t="str">
        <f>IF((E35+I35+M35+Q35+U35+Y35+AC35)=('7.Budgets prévisionnels'!E29+'7.Budgets prévisionnels'!E30)," ok",(E35+I35+M35+Q35+U35+Y35+AC35)-('7.Budgets prévisionnels'!E29+'7.Budgets prévisionnels'!E30))</f>
        <v xml:space="preserve"> ok</v>
      </c>
      <c r="AI35" s="1576">
        <f t="shared" si="1"/>
        <v>0</v>
      </c>
      <c r="AJ35" s="1541" t="str">
        <f>IF((F35+J35+N35+R35+V35+Z35+AD35)=('7.Budgets prévisionnels'!F29+'7.Budgets prévisionnels'!F30)," ok",(F35+J35+N35+R35+V35+Z35+AD35)-('7.Budgets prévisionnels'!F29+'7.Budgets prévisionnels'!F30))</f>
        <v xml:space="preserve"> ok</v>
      </c>
      <c r="AK35" s="1574">
        <f t="shared" si="2"/>
        <v>0</v>
      </c>
      <c r="AL35" s="1541" t="str">
        <f>IF((G35+K35+O35+S35+W35+AA35+AE35)=('7.Budgets prévisionnels'!G29+'7.Budgets prévisionnels'!G30)," ok",((G35+K35+O35+S35+W35+AA35+AE35)-('7.Budgets prévisionnels'!G29+'7.Budgets prévisionnels'!G30)))</f>
        <v xml:space="preserve"> ok</v>
      </c>
      <c r="AM35" s="192"/>
    </row>
    <row r="36" spans="1:39" ht="15" customHeight="1" x14ac:dyDescent="0.25">
      <c r="A36" s="188"/>
      <c r="B36" s="2163" t="s">
        <v>278</v>
      </c>
      <c r="C36" s="2164"/>
      <c r="D36" s="417">
        <f>'6.Détails activités passés'!E46</f>
        <v>0</v>
      </c>
      <c r="E36" s="800">
        <f>'7.Budgets prévisionnels'!$E$31*'8.Détails activités prév.'!E$9</f>
        <v>0</v>
      </c>
      <c r="F36" s="796">
        <f>'7.Budgets prévisionnels'!$F$31*'8.Détails activités prév.'!F$9</f>
        <v>0</v>
      </c>
      <c r="G36" s="240">
        <f>'7.Budgets prévisionnels'!$G$31*'8.Détails activités prév.'!G$9</f>
        <v>0</v>
      </c>
      <c r="H36" s="417">
        <f>'6.Détails activités passés'!H46</f>
        <v>0</v>
      </c>
      <c r="I36" s="796">
        <f>'7.Budgets prévisionnels'!$E$31*'8.Détails activités prév.'!I$9</f>
        <v>0</v>
      </c>
      <c r="J36" s="796">
        <f>'7.Budgets prévisionnels'!$F$31*'8.Détails activités prév.'!J$9</f>
        <v>0</v>
      </c>
      <c r="K36" s="872">
        <f>'7.Budgets prévisionnels'!$G$31*'8.Détails activités prév.'!K$9</f>
        <v>0</v>
      </c>
      <c r="L36" s="418">
        <f>'6.Détails activités passés'!K46</f>
        <v>0</v>
      </c>
      <c r="M36" s="796">
        <f>'7.Budgets prévisionnels'!$E$31*'8.Détails activités prév.'!M$9</f>
        <v>0</v>
      </c>
      <c r="N36" s="240">
        <f>'7.Budgets prévisionnels'!$F$31*'8.Détails activités prév.'!N$9</f>
        <v>0</v>
      </c>
      <c r="O36" s="240">
        <f>'7.Budgets prévisionnels'!$G$31*'8.Détails activités prév.'!O$9</f>
        <v>0</v>
      </c>
      <c r="P36" s="417">
        <f>'6.Détails activités passés'!N46</f>
        <v>0</v>
      </c>
      <c r="Q36" s="800">
        <f>'7.Budgets prévisionnels'!$E$31*'8.Détails activités prév.'!Q$9</f>
        <v>0</v>
      </c>
      <c r="R36" s="240">
        <f>'7.Budgets prévisionnels'!$F$31*'8.Détails activités prév.'!R$9</f>
        <v>0</v>
      </c>
      <c r="S36" s="565">
        <f>'7.Budgets prévisionnels'!$G$31*'8.Détails activités prév.'!S$9</f>
        <v>0</v>
      </c>
      <c r="T36" s="418">
        <f>'6.Détails activités passés'!Q46</f>
        <v>0</v>
      </c>
      <c r="U36" s="240">
        <f>'7.Budgets prévisionnels'!$E$31*'8.Détails activités prév.'!U$9</f>
        <v>0</v>
      </c>
      <c r="V36" s="240">
        <f>'7.Budgets prévisionnels'!$F$31*'8.Détails activités prév.'!V$9</f>
        <v>0</v>
      </c>
      <c r="W36" s="565">
        <f>'7.Budgets prévisionnels'!$G$31*'8.Détails activités prév.'!W$9</f>
        <v>0</v>
      </c>
      <c r="X36" s="418">
        <f>'6.Détails activités passés'!T46</f>
        <v>0</v>
      </c>
      <c r="Y36" s="240">
        <f>'7.Budgets prévisionnels'!$E$31*'8.Détails activités prév.'!Y$9</f>
        <v>0</v>
      </c>
      <c r="Z36" s="240">
        <f>'7.Budgets prévisionnels'!$F$31*'8.Détails activités prév.'!Z$9</f>
        <v>0</v>
      </c>
      <c r="AA36" s="240">
        <f>'7.Budgets prévisionnels'!$G$31*'8.Détails activités prév.'!AA$9</f>
        <v>0</v>
      </c>
      <c r="AB36" s="417">
        <f>'6.Détails activités passés'!W46</f>
        <v>0</v>
      </c>
      <c r="AC36" s="800">
        <f>'7.Budgets prévisionnels'!$E$31*'8.Détails activités prév.'!AC$9</f>
        <v>0</v>
      </c>
      <c r="AD36" s="240">
        <f>'7.Budgets prévisionnels'!$F$31*'8.Détails activités prév.'!AD$9</f>
        <v>0</v>
      </c>
      <c r="AE36" s="565">
        <f>'7.Budgets prévisionnels'!$G$31*'8.Détails activités prév.'!AE$9</f>
        <v>0</v>
      </c>
      <c r="AF36" s="368"/>
      <c r="AG36" s="1527">
        <f t="shared" si="0"/>
        <v>0</v>
      </c>
      <c r="AH36" s="1519" t="str">
        <f>IF(E36+I36+M36+Q36+U36+Y36+AC36='7.Budgets prévisionnels'!E31," ok",E36+I36+M36+Q36+U36+Y36+AC36-'7.Budgets prévisionnels'!E31)</f>
        <v xml:space="preserve"> ok</v>
      </c>
      <c r="AI36" s="1576">
        <f t="shared" si="1"/>
        <v>0</v>
      </c>
      <c r="AJ36" s="1541" t="str">
        <f>IF(F36+J36+N36+R36+V36+Z36+AD36='7.Budgets prévisionnels'!F31," ok",F36+J36+N36+R36+V36+Z36+AD36-'7.Budgets prévisionnels'!F31)</f>
        <v xml:space="preserve"> ok</v>
      </c>
      <c r="AK36" s="1574">
        <f t="shared" si="2"/>
        <v>0</v>
      </c>
      <c r="AL36" s="1541" t="str">
        <f>IF(G36+K36+O36+S36+W36+AA36+AE36='7.Budgets prévisionnels'!G31, " ok",G36+K36+O36+S36+W36+AA36+AE36-'7.Budgets prévisionnels'!G31)</f>
        <v xml:space="preserve"> ok</v>
      </c>
      <c r="AM36" s="192"/>
    </row>
    <row r="37" spans="1:39" s="159" customFormat="1" ht="15" x14ac:dyDescent="0.25">
      <c r="A37" s="425"/>
      <c r="B37" s="2157" t="s">
        <v>279</v>
      </c>
      <c r="C37" s="2158"/>
      <c r="D37" s="486">
        <f>'6.Détails activités passés'!E47</f>
        <v>0</v>
      </c>
      <c r="E37" s="819">
        <f t="shared" ref="E37:AE37" si="7">E24+E25+E26+E27+E31+E35+E36</f>
        <v>0</v>
      </c>
      <c r="F37" s="824">
        <f t="shared" si="7"/>
        <v>0</v>
      </c>
      <c r="G37" s="207">
        <f t="shared" si="7"/>
        <v>0</v>
      </c>
      <c r="H37" s="486">
        <f>'6.Détails activités passés'!H47</f>
        <v>0</v>
      </c>
      <c r="I37" s="824">
        <f t="shared" si="7"/>
        <v>0</v>
      </c>
      <c r="J37" s="824">
        <f t="shared" si="7"/>
        <v>0</v>
      </c>
      <c r="K37" s="875">
        <f t="shared" si="7"/>
        <v>0</v>
      </c>
      <c r="L37" s="488">
        <f>'6.Détails activités passés'!K47</f>
        <v>0</v>
      </c>
      <c r="M37" s="824">
        <f t="shared" si="7"/>
        <v>0</v>
      </c>
      <c r="N37" s="241">
        <f t="shared" si="7"/>
        <v>0</v>
      </c>
      <c r="O37" s="207">
        <f t="shared" si="7"/>
        <v>0</v>
      </c>
      <c r="P37" s="486">
        <f>'6.Détails activités passés'!N47</f>
        <v>0</v>
      </c>
      <c r="Q37" s="819">
        <f t="shared" si="7"/>
        <v>0</v>
      </c>
      <c r="R37" s="241">
        <f t="shared" si="7"/>
        <v>0</v>
      </c>
      <c r="S37" s="568">
        <f t="shared" si="7"/>
        <v>0</v>
      </c>
      <c r="T37" s="488">
        <f>'6.Détails activités passés'!Q47</f>
        <v>0</v>
      </c>
      <c r="U37" s="241">
        <f t="shared" si="7"/>
        <v>0</v>
      </c>
      <c r="V37" s="225">
        <f t="shared" si="7"/>
        <v>0</v>
      </c>
      <c r="W37" s="568">
        <f t="shared" si="7"/>
        <v>0</v>
      </c>
      <c r="X37" s="488">
        <f>'6.Détails activités passés'!T47</f>
        <v>0</v>
      </c>
      <c r="Y37" s="241">
        <f t="shared" ref="Y37:AA37" si="8">Y24+Y25+Y26+Y27+Y31+Y35+Y36</f>
        <v>0</v>
      </c>
      <c r="Z37" s="225">
        <f t="shared" si="8"/>
        <v>0</v>
      </c>
      <c r="AA37" s="207">
        <f t="shared" si="8"/>
        <v>0</v>
      </c>
      <c r="AB37" s="486">
        <f>'6.Détails activités passés'!W47</f>
        <v>0</v>
      </c>
      <c r="AC37" s="241">
        <f t="shared" si="7"/>
        <v>0</v>
      </c>
      <c r="AD37" s="225">
        <f t="shared" si="7"/>
        <v>0</v>
      </c>
      <c r="AE37" s="568">
        <f t="shared" si="7"/>
        <v>0</v>
      </c>
      <c r="AF37" s="1571"/>
      <c r="AG37" s="1530">
        <f t="shared" si="0"/>
        <v>0</v>
      </c>
      <c r="AH37" s="1529" t="str">
        <f>IF(E37+I37+M37+Q37+U37+Y37+AC37='7.Budgets prévisionnels'!E32," ok",E37+I37+M37+Q37+U37+Y37+AC37-'7.Budgets prévisionnels'!E32)</f>
        <v xml:space="preserve"> ok</v>
      </c>
      <c r="AI37" s="1577">
        <f t="shared" si="1"/>
        <v>0</v>
      </c>
      <c r="AJ37" s="1542" t="str">
        <f>IF(F37+J37+N37+R37+V37+Z37+AD37='7.Budgets prévisionnels'!F32," ok",F37+J37+N37+R37+V37+Z37+AD37-'7.Budgets prévisionnels'!F32)</f>
        <v xml:space="preserve"> ok</v>
      </c>
      <c r="AK37" s="1579">
        <f t="shared" si="2"/>
        <v>0</v>
      </c>
      <c r="AL37" s="1542" t="str">
        <f>IF(G37+K37+O37+S37+W37+AA37+AE37='7.Budgets prévisionnels'!G32, " ok",G37+K37+O37+S37+W37+AA37+AE37-'7.Budgets prévisionnels'!G32)</f>
        <v xml:space="preserve"> ok</v>
      </c>
      <c r="AM37" s="191"/>
    </row>
    <row r="38" spans="1:39" x14ac:dyDescent="0.25">
      <c r="A38" s="188"/>
      <c r="B38" s="428"/>
      <c r="C38" s="429"/>
      <c r="D38" s="1196"/>
      <c r="E38" s="1197"/>
      <c r="F38" s="1198"/>
      <c r="G38" s="1199"/>
      <c r="H38" s="1200"/>
      <c r="I38" s="1198"/>
      <c r="J38" s="1198"/>
      <c r="K38" s="1201"/>
      <c r="L38" s="1196"/>
      <c r="M38" s="1198"/>
      <c r="N38" s="1202"/>
      <c r="O38" s="1199"/>
      <c r="P38" s="1180"/>
      <c r="Q38" s="1202"/>
      <c r="R38" s="1202"/>
      <c r="S38" s="1199"/>
      <c r="T38" s="1180"/>
      <c r="U38" s="1202"/>
      <c r="V38" s="1203"/>
      <c r="W38" s="1204"/>
      <c r="X38" s="1561"/>
      <c r="Y38" s="1202"/>
      <c r="Z38" s="1203"/>
      <c r="AA38" s="1199"/>
      <c r="AB38" s="1180"/>
      <c r="AC38" s="1202"/>
      <c r="AD38" s="1203"/>
      <c r="AE38" s="1204"/>
      <c r="AF38" s="1206"/>
      <c r="AG38" s="1527"/>
      <c r="AH38" s="1519"/>
      <c r="AI38" s="1576"/>
      <c r="AJ38" s="1541"/>
      <c r="AK38" s="1574"/>
      <c r="AL38" s="1541"/>
      <c r="AM38" s="192"/>
    </row>
    <row r="39" spans="1:39" s="352" customFormat="1" ht="23.25" customHeight="1" x14ac:dyDescent="0.25">
      <c r="A39" s="426"/>
      <c r="B39" s="2159" t="s">
        <v>260</v>
      </c>
      <c r="C39" s="2160"/>
      <c r="D39" s="1232">
        <f>D23-D37</f>
        <v>0</v>
      </c>
      <c r="E39" s="1233">
        <f t="shared" ref="E39:AE39" si="9">E23-E37</f>
        <v>0</v>
      </c>
      <c r="F39" s="1233">
        <f t="shared" si="9"/>
        <v>0</v>
      </c>
      <c r="G39" s="1234">
        <f t="shared" si="9"/>
        <v>0</v>
      </c>
      <c r="H39" s="1403">
        <f>H23-H37</f>
        <v>0</v>
      </c>
      <c r="I39" s="1404">
        <f t="shared" si="9"/>
        <v>0</v>
      </c>
      <c r="J39" s="1404">
        <f t="shared" si="9"/>
        <v>0</v>
      </c>
      <c r="K39" s="1405">
        <f t="shared" si="9"/>
        <v>0</v>
      </c>
      <c r="L39" s="1235">
        <f>L23-L37</f>
        <v>0</v>
      </c>
      <c r="M39" s="1236">
        <f t="shared" si="9"/>
        <v>0</v>
      </c>
      <c r="N39" s="1236">
        <f t="shared" si="9"/>
        <v>0</v>
      </c>
      <c r="O39" s="1237">
        <f t="shared" si="9"/>
        <v>0</v>
      </c>
      <c r="P39" s="1406">
        <f>P23-P37</f>
        <v>0</v>
      </c>
      <c r="Q39" s="1407">
        <f t="shared" si="9"/>
        <v>0</v>
      </c>
      <c r="R39" s="1408">
        <f t="shared" si="9"/>
        <v>0</v>
      </c>
      <c r="S39" s="1409">
        <f t="shared" si="9"/>
        <v>0</v>
      </c>
      <c r="T39" s="1238">
        <f>T23-T37</f>
        <v>0</v>
      </c>
      <c r="U39" s="1239">
        <f t="shared" si="9"/>
        <v>0</v>
      </c>
      <c r="V39" s="1240">
        <f t="shared" si="9"/>
        <v>0</v>
      </c>
      <c r="W39" s="1567">
        <f t="shared" si="9"/>
        <v>0</v>
      </c>
      <c r="X39" s="1568">
        <f>X23-X37</f>
        <v>0</v>
      </c>
      <c r="Y39" s="1569">
        <f t="shared" ref="Y39:AA39" si="10">Y23-Y37</f>
        <v>0</v>
      </c>
      <c r="Z39" s="1570">
        <f t="shared" si="10"/>
        <v>0</v>
      </c>
      <c r="AA39" s="1568">
        <f t="shared" si="10"/>
        <v>0</v>
      </c>
      <c r="AB39" s="1410">
        <f>AB23-AB37</f>
        <v>0</v>
      </c>
      <c r="AC39" s="1411">
        <f t="shared" si="9"/>
        <v>0</v>
      </c>
      <c r="AD39" s="1411">
        <f t="shared" si="9"/>
        <v>0</v>
      </c>
      <c r="AE39" s="1412">
        <f t="shared" si="9"/>
        <v>0</v>
      </c>
      <c r="AF39" s="1207"/>
      <c r="AG39" s="1580">
        <f>E39+I39+M39+Q39+U39+AC39</f>
        <v>0</v>
      </c>
      <c r="AH39" s="1639" t="str">
        <f>IF(E39+I39+M39+Q39+U39+Y39+AC39='7.Budgets prévisionnels'!E37," ok",E39+I39+M39+Q39+U39+Y39+AC39-'7.Budgets prévisionnels'!E37)</f>
        <v xml:space="preserve"> ok</v>
      </c>
      <c r="AI39" s="1581">
        <f t="shared" ref="AI39" si="11">F39+J39+N39+R39+V39+AD39</f>
        <v>0</v>
      </c>
      <c r="AJ39" s="1639" t="str">
        <f>IF(F39+J39+N39+R39+V39+Z39+AD39='7.Budgets prévisionnels'!F37," ok",F39+J39+N39+R39+V39+Z39+AD39-'7.Budgets prévisionnels'!F37)</f>
        <v xml:space="preserve"> ok</v>
      </c>
      <c r="AK39" s="1580">
        <f t="shared" ref="AK39" si="12">G39+K39+O39+S39+W39+AE39</f>
        <v>0</v>
      </c>
      <c r="AL39" s="1639" t="str">
        <f>IF(G39+K39+O39+S39+W39+AA39+AE39='7.Budgets prévisionnels'!G37, " ok",G39+K39+O39+S39+W39+AA39+AE39-'7.Budgets prévisionnels'!G37)</f>
        <v xml:space="preserve"> ok</v>
      </c>
    </row>
    <row r="40" spans="1:39" x14ac:dyDescent="0.25">
      <c r="B40" s="427"/>
      <c r="C40" s="430"/>
      <c r="D40" s="43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539"/>
      <c r="AH40" s="1493"/>
      <c r="AI40" s="1493"/>
      <c r="AJ40" s="1493"/>
      <c r="AK40" s="1493"/>
      <c r="AL40" s="1493"/>
      <c r="AM40" s="192"/>
    </row>
    <row r="41" spans="1:39" x14ac:dyDescent="0.25">
      <c r="B41" s="436"/>
      <c r="C41" s="432"/>
      <c r="D41" s="432"/>
      <c r="E41" s="368"/>
      <c r="F41" s="368"/>
      <c r="G41" s="368"/>
      <c r="H41" s="368"/>
      <c r="I41" s="368"/>
      <c r="J41" s="368"/>
      <c r="K41" s="368"/>
      <c r="L41" s="368"/>
      <c r="M41" s="368"/>
      <c r="N41" s="368"/>
      <c r="O41" s="368"/>
      <c r="P41" s="368"/>
      <c r="Q41" s="368"/>
      <c r="R41" s="368"/>
      <c r="S41" s="101"/>
      <c r="T41" s="101"/>
      <c r="U41" s="101"/>
      <c r="V41" s="101"/>
      <c r="W41" s="101"/>
      <c r="X41" s="101"/>
      <c r="Y41" s="101"/>
      <c r="Z41" s="101"/>
      <c r="AA41" s="101"/>
      <c r="AB41" s="101"/>
      <c r="AC41" s="101"/>
      <c r="AD41" s="101"/>
      <c r="AE41" s="101"/>
      <c r="AF41" s="101"/>
      <c r="AG41" s="1230"/>
      <c r="AM41" s="192"/>
    </row>
    <row r="42" spans="1:39" ht="24" thickBot="1" x14ac:dyDescent="0.3">
      <c r="A42" s="569"/>
      <c r="B42" s="2165" t="s">
        <v>329</v>
      </c>
      <c r="C42" s="2166"/>
      <c r="D42" s="2166"/>
      <c r="E42" s="2166"/>
      <c r="F42" s="2166"/>
      <c r="G42" s="2166"/>
      <c r="H42" s="2166"/>
      <c r="I42" s="2166"/>
      <c r="J42" s="2166"/>
      <c r="K42" s="2166"/>
      <c r="L42" s="2166"/>
      <c r="M42" s="2167"/>
      <c r="N42" s="2167"/>
      <c r="O42" s="2167"/>
      <c r="P42" s="2167"/>
      <c r="Q42" s="2167"/>
      <c r="R42" s="2167"/>
      <c r="S42" s="2167"/>
      <c r="T42" s="2168"/>
      <c r="U42" s="101"/>
      <c r="V42" s="101"/>
      <c r="W42" s="101"/>
      <c r="X42" s="101"/>
      <c r="Y42" s="101"/>
      <c r="Z42" s="101"/>
      <c r="AA42" s="101"/>
      <c r="AB42" s="101"/>
      <c r="AC42" s="101"/>
      <c r="AD42" s="101"/>
      <c r="AE42" s="101"/>
      <c r="AF42" s="101"/>
      <c r="AG42" s="1230"/>
      <c r="AM42" s="192"/>
    </row>
    <row r="43" spans="1:39" ht="12" customHeight="1" thickTop="1" x14ac:dyDescent="0.25">
      <c r="A43" s="25"/>
      <c r="B43" s="744"/>
      <c r="C43" s="744"/>
      <c r="D43" s="744"/>
      <c r="E43" s="744"/>
      <c r="F43" s="744"/>
      <c r="G43" s="744"/>
      <c r="H43" s="744"/>
      <c r="I43" s="744"/>
      <c r="J43" s="744"/>
      <c r="K43" s="744"/>
      <c r="L43" s="744"/>
      <c r="M43" s="7"/>
      <c r="N43" s="7"/>
      <c r="O43" s="7"/>
      <c r="P43" s="7"/>
      <c r="Q43" s="7"/>
      <c r="R43" s="7"/>
      <c r="S43" s="7"/>
      <c r="T43" s="7"/>
      <c r="U43" s="101"/>
      <c r="V43" s="101"/>
      <c r="W43" s="101"/>
      <c r="X43" s="101"/>
      <c r="Y43" s="101"/>
      <c r="Z43" s="101"/>
      <c r="AA43" s="101"/>
      <c r="AB43" s="101"/>
      <c r="AC43" s="101"/>
      <c r="AD43" s="101"/>
      <c r="AE43" s="101"/>
      <c r="AF43" s="101"/>
      <c r="AG43" s="1230"/>
      <c r="AM43" s="192"/>
    </row>
    <row r="44" spans="1:39" ht="6.75" customHeight="1" x14ac:dyDescent="0.25">
      <c r="A44" s="569"/>
      <c r="B44" s="2197" t="s">
        <v>544</v>
      </c>
      <c r="C44" s="2198"/>
      <c r="D44" s="2176">
        <f>'7.Budgets prévisionnels'!E6</f>
        <v>2017</v>
      </c>
      <c r="E44" s="2177"/>
      <c r="F44" s="2178"/>
      <c r="G44" s="2169">
        <f>'7.Budgets prévisionnels'!F6</f>
        <v>2018</v>
      </c>
      <c r="H44" s="2170"/>
      <c r="I44" s="2171"/>
      <c r="J44" s="2169">
        <f>'7.Budgets prévisionnels'!G6</f>
        <v>2019</v>
      </c>
      <c r="K44" s="2170"/>
      <c r="L44" s="2171"/>
      <c r="M44" s="232"/>
      <c r="N44" s="2169" t="s">
        <v>306</v>
      </c>
      <c r="O44" s="2170"/>
      <c r="P44" s="2170"/>
      <c r="Q44" s="2170"/>
      <c r="R44" s="2170"/>
      <c r="S44" s="2170"/>
      <c r="T44" s="2171"/>
      <c r="U44" s="101"/>
      <c r="V44" s="101"/>
      <c r="W44" s="101"/>
      <c r="X44" s="101"/>
      <c r="Y44" s="101"/>
      <c r="Z44" s="101"/>
      <c r="AA44" s="101"/>
      <c r="AB44" s="101"/>
      <c r="AC44" s="101"/>
      <c r="AD44" s="101"/>
      <c r="AE44" s="101"/>
      <c r="AF44" s="101"/>
      <c r="AG44" s="1230"/>
      <c r="AH44" s="1231"/>
      <c r="AI44" s="1231"/>
      <c r="AJ44" s="1231"/>
      <c r="AK44" s="1231"/>
      <c r="AL44" s="1231"/>
      <c r="AM44" s="192"/>
    </row>
    <row r="45" spans="1:39" ht="12" customHeight="1" x14ac:dyDescent="0.25">
      <c r="A45" s="569"/>
      <c r="B45" s="2199"/>
      <c r="C45" s="2200"/>
      <c r="D45" s="2179"/>
      <c r="E45" s="2180"/>
      <c r="F45" s="2181"/>
      <c r="G45" s="2185"/>
      <c r="H45" s="2186"/>
      <c r="I45" s="2187"/>
      <c r="J45" s="2185"/>
      <c r="K45" s="2186"/>
      <c r="L45" s="2187"/>
      <c r="M45" s="1269"/>
      <c r="N45" s="2172"/>
      <c r="O45" s="2172"/>
      <c r="P45" s="2172"/>
      <c r="Q45" s="2172"/>
      <c r="R45" s="2172"/>
      <c r="S45" s="2172"/>
      <c r="T45" s="2173"/>
      <c r="U45" s="101"/>
      <c r="V45" s="101"/>
      <c r="W45" s="101"/>
      <c r="X45" s="101"/>
      <c r="Y45" s="101"/>
      <c r="Z45" s="101"/>
      <c r="AA45" s="101"/>
      <c r="AB45" s="101"/>
      <c r="AC45" s="101"/>
      <c r="AD45" s="101"/>
      <c r="AE45" s="101"/>
      <c r="AF45" s="101"/>
      <c r="AG45" s="1230"/>
      <c r="AH45" s="1231"/>
      <c r="AI45" s="1231"/>
      <c r="AJ45" s="1231"/>
      <c r="AK45" s="1231"/>
      <c r="AL45" s="1231"/>
      <c r="AM45" s="192"/>
    </row>
    <row r="46" spans="1:39" ht="28.5" customHeight="1" x14ac:dyDescent="0.25">
      <c r="A46" s="569"/>
      <c r="B46" s="2199"/>
      <c r="C46" s="2200"/>
      <c r="D46" s="2182"/>
      <c r="E46" s="2183"/>
      <c r="F46" s="2184"/>
      <c r="G46" s="2188"/>
      <c r="H46" s="2172"/>
      <c r="I46" s="2173"/>
      <c r="J46" s="2188"/>
      <c r="K46" s="2172"/>
      <c r="L46" s="2173"/>
      <c r="M46" s="1270"/>
      <c r="N46" s="1342" t="str">
        <f>D6&amp;" / "&amp;E6</f>
        <v>2016 / 2017</v>
      </c>
      <c r="O46" s="2174" t="str">
        <f>D44&amp;" / "&amp;G44</f>
        <v>2017 / 2018</v>
      </c>
      <c r="P46" s="2174"/>
      <c r="Q46" s="2174"/>
      <c r="R46" s="2175" t="str">
        <f>G44&amp;" / "&amp;J44</f>
        <v>2018 / 2019</v>
      </c>
      <c r="S46" s="2175"/>
      <c r="T46" s="2175"/>
      <c r="V46" s="82"/>
      <c r="W46" s="742"/>
      <c r="X46" s="742"/>
      <c r="Y46" s="742"/>
      <c r="Z46" s="742"/>
      <c r="AA46" s="742"/>
    </row>
    <row r="47" spans="1:39" ht="59.25" customHeight="1" x14ac:dyDescent="0.25">
      <c r="A47" s="569"/>
      <c r="B47" s="2201"/>
      <c r="C47" s="2202"/>
      <c r="D47" s="1020" t="s">
        <v>434</v>
      </c>
      <c r="E47" s="1021" t="s">
        <v>307</v>
      </c>
      <c r="F47" s="1022" t="s">
        <v>304</v>
      </c>
      <c r="G47" s="1020" t="s">
        <v>435</v>
      </c>
      <c r="H47" s="1023" t="s">
        <v>307</v>
      </c>
      <c r="I47" s="1024" t="s">
        <v>304</v>
      </c>
      <c r="J47" s="1020" t="s">
        <v>435</v>
      </c>
      <c r="K47" s="1025" t="s">
        <v>307</v>
      </c>
      <c r="L47" s="879" t="s">
        <v>304</v>
      </c>
      <c r="M47" s="1270"/>
      <c r="N47" s="1026" t="s">
        <v>416</v>
      </c>
      <c r="O47" s="1020" t="s">
        <v>435</v>
      </c>
      <c r="P47" s="1027" t="s">
        <v>307</v>
      </c>
      <c r="Q47" s="1026" t="s">
        <v>416</v>
      </c>
      <c r="R47" s="1020" t="s">
        <v>434</v>
      </c>
      <c r="S47" s="1027" t="s">
        <v>307</v>
      </c>
      <c r="T47" s="1026" t="s">
        <v>416</v>
      </c>
      <c r="U47" s="438"/>
      <c r="V47" s="743"/>
      <c r="W47" s="743"/>
      <c r="X47" s="743"/>
      <c r="Y47" s="743"/>
      <c r="Z47" s="743"/>
      <c r="AA47" s="743"/>
    </row>
    <row r="48" spans="1:39" ht="16.5" customHeight="1" x14ac:dyDescent="0.25">
      <c r="A48" s="25"/>
      <c r="B48" s="2239" t="s">
        <v>295</v>
      </c>
      <c r="C48" s="431" t="s">
        <v>320</v>
      </c>
      <c r="D48" s="986"/>
      <c r="E48" s="1271"/>
      <c r="F48" s="1272" t="str">
        <f>IF((D48+E48=0),"",D48*E48)</f>
        <v/>
      </c>
      <c r="G48" s="1273">
        <f>D48*(O48+1)</f>
        <v>0</v>
      </c>
      <c r="H48" s="1274">
        <f>E48*(P48+1)</f>
        <v>0</v>
      </c>
      <c r="I48" s="1275" t="str">
        <f>IF((G48+H48=0),"",G48*H48)</f>
        <v/>
      </c>
      <c r="J48" s="1276">
        <f>G48*(R48+1)</f>
        <v>0</v>
      </c>
      <c r="K48" s="1274">
        <f>H48*(S48+1)</f>
        <v>0</v>
      </c>
      <c r="L48" s="1272" t="str">
        <f>IF((J48+K48=0),"",J48*K48)</f>
        <v/>
      </c>
      <c r="M48" s="1270"/>
      <c r="N48" s="1208">
        <f>IF(('6.Détails activités passés'!E15=""),(D48*E48)%,(((D48*E48)-'6.Détails activités passés'!E15)/'6.Détails activités passés'!E15))</f>
        <v>0</v>
      </c>
      <c r="O48" s="1209"/>
      <c r="P48" s="1209"/>
      <c r="Q48" s="1208">
        <f>IF((F48=""),(G48*H48)%,((((G48*H48)-F48)/F48)))</f>
        <v>0</v>
      </c>
      <c r="R48" s="1210"/>
      <c r="S48" s="1211"/>
      <c r="T48" s="1208">
        <f>IF((I48=""),(J48*K48)%,((((J48*K48)-I48)/I48)))</f>
        <v>0</v>
      </c>
      <c r="AL48" s="1231"/>
    </row>
    <row r="49" spans="1:38" ht="16.5" customHeight="1" x14ac:dyDescent="0.25">
      <c r="A49" s="25"/>
      <c r="B49" s="2240"/>
      <c r="C49" s="431" t="s">
        <v>321</v>
      </c>
      <c r="D49" s="986"/>
      <c r="E49" s="1277"/>
      <c r="F49" s="1272" t="str">
        <f t="shared" ref="F49:F52" si="13">IF((D49+E49=0),"",D49*E49)</f>
        <v/>
      </c>
      <c r="G49" s="1278">
        <f t="shared" ref="G49:G85" si="14">D49*(O49+1)</f>
        <v>0</v>
      </c>
      <c r="H49" s="1279">
        <f t="shared" ref="H49:H85" si="15">E49*(P49+1)</f>
        <v>0</v>
      </c>
      <c r="I49" s="1275" t="str">
        <f t="shared" ref="I49:I86" si="16">IF((G49+H49=0),"",G49*H49)</f>
        <v/>
      </c>
      <c r="J49" s="1278">
        <f t="shared" ref="J49:J85" si="17">G49*(R49+1)</f>
        <v>0</v>
      </c>
      <c r="K49" s="1279">
        <f t="shared" ref="K49:K85" si="18">H49*(S49+1)</f>
        <v>0</v>
      </c>
      <c r="L49" s="1272" t="str">
        <f t="shared" ref="L49:L85" si="19">IF((J49+K49=0),"",J49*K49)</f>
        <v/>
      </c>
      <c r="M49" s="1270"/>
      <c r="N49" s="1208">
        <f>IF(('6.Détails activités passés'!E16=""),(D49*E49)%,(((D49*E49)-'6.Détails activités passés'!E16)/'6.Détails activités passés'!E16))</f>
        <v>0</v>
      </c>
      <c r="O49" s="1211"/>
      <c r="P49" s="1211"/>
      <c r="Q49" s="1208">
        <f t="shared" ref="Q49:Q52" si="20">IF((F49=""),(G49*H49)%,((((G49*H49)-F49)/F49)))</f>
        <v>0</v>
      </c>
      <c r="R49" s="1212"/>
      <c r="S49" s="1211"/>
      <c r="T49" s="1208">
        <f t="shared" ref="T49:T86" si="21">IF((I49=""),(J49*K49)%,((((J49*K49)-I49)/I49)))</f>
        <v>0</v>
      </c>
      <c r="AL49" s="1231"/>
    </row>
    <row r="50" spans="1:38" ht="16.5" customHeight="1" x14ac:dyDescent="0.25">
      <c r="A50" s="25"/>
      <c r="B50" s="2240"/>
      <c r="C50" s="431" t="s">
        <v>471</v>
      </c>
      <c r="D50" s="986"/>
      <c r="E50" s="1277"/>
      <c r="F50" s="1272" t="str">
        <f t="shared" si="13"/>
        <v/>
      </c>
      <c r="G50" s="1278">
        <f t="shared" si="14"/>
        <v>0</v>
      </c>
      <c r="H50" s="1279">
        <f t="shared" si="15"/>
        <v>0</v>
      </c>
      <c r="I50" s="1275" t="str">
        <f t="shared" si="16"/>
        <v/>
      </c>
      <c r="J50" s="1278">
        <f t="shared" si="17"/>
        <v>0</v>
      </c>
      <c r="K50" s="1279">
        <f t="shared" si="18"/>
        <v>0</v>
      </c>
      <c r="L50" s="1272" t="str">
        <f t="shared" si="19"/>
        <v/>
      </c>
      <c r="M50" s="1270"/>
      <c r="N50" s="1208">
        <f>IF(('6.Détails activités passés'!E19=""),(D50*E50)%,(((D50*E50)-'6.Détails activités passés'!E19)/'6.Détails activités passés'!E19))</f>
        <v>0</v>
      </c>
      <c r="O50" s="1211"/>
      <c r="P50" s="1211"/>
      <c r="Q50" s="1208">
        <f t="shared" si="20"/>
        <v>0</v>
      </c>
      <c r="R50" s="1212"/>
      <c r="S50" s="1211"/>
      <c r="T50" s="1208">
        <f t="shared" si="21"/>
        <v>0</v>
      </c>
      <c r="AL50" s="1231"/>
    </row>
    <row r="51" spans="1:38" ht="16.5" customHeight="1" x14ac:dyDescent="0.25">
      <c r="A51" s="25"/>
      <c r="B51" s="2240"/>
      <c r="C51" s="431" t="s">
        <v>309</v>
      </c>
      <c r="D51" s="986"/>
      <c r="E51" s="1277"/>
      <c r="F51" s="1272" t="str">
        <f t="shared" si="13"/>
        <v/>
      </c>
      <c r="G51" s="1278">
        <f t="shared" si="14"/>
        <v>0</v>
      </c>
      <c r="H51" s="1279">
        <f t="shared" si="15"/>
        <v>0</v>
      </c>
      <c r="I51" s="1275" t="str">
        <f t="shared" si="16"/>
        <v/>
      </c>
      <c r="J51" s="1278">
        <f t="shared" si="17"/>
        <v>0</v>
      </c>
      <c r="K51" s="1279">
        <f t="shared" si="18"/>
        <v>0</v>
      </c>
      <c r="L51" s="1272" t="str">
        <f t="shared" si="19"/>
        <v/>
      </c>
      <c r="M51" s="1270"/>
      <c r="N51" s="1208">
        <f>IF(('6.Détails activités passés'!E20=""),(D51*E51)%,(((D51*E51)-'6.Détails activités passés'!E20)/'6.Détails activités passés'!E20))</f>
        <v>0</v>
      </c>
      <c r="O51" s="1211"/>
      <c r="P51" s="1211"/>
      <c r="Q51" s="1208">
        <f t="shared" si="20"/>
        <v>0</v>
      </c>
      <c r="R51" s="1212"/>
      <c r="S51" s="1211"/>
      <c r="T51" s="1208">
        <f t="shared" si="21"/>
        <v>0</v>
      </c>
      <c r="AL51" s="1231"/>
    </row>
    <row r="52" spans="1:38" ht="16.5" customHeight="1" x14ac:dyDescent="0.25">
      <c r="A52" s="25"/>
      <c r="B52" s="2240"/>
      <c r="C52" s="431" t="s">
        <v>71</v>
      </c>
      <c r="D52" s="986"/>
      <c r="E52" s="1277"/>
      <c r="F52" s="1272" t="str">
        <f t="shared" si="13"/>
        <v/>
      </c>
      <c r="G52" s="1278">
        <f t="shared" si="14"/>
        <v>0</v>
      </c>
      <c r="H52" s="1279">
        <f t="shared" si="15"/>
        <v>0</v>
      </c>
      <c r="I52" s="1275" t="str">
        <f t="shared" si="16"/>
        <v/>
      </c>
      <c r="J52" s="1278">
        <f t="shared" si="17"/>
        <v>0</v>
      </c>
      <c r="K52" s="1279">
        <f t="shared" si="18"/>
        <v>0</v>
      </c>
      <c r="L52" s="1328" t="str">
        <f t="shared" si="19"/>
        <v/>
      </c>
      <c r="M52" s="1270"/>
      <c r="N52" s="1336">
        <f>IF(('6.Détails activités passés'!E24=""),(D52*E52)%,(((D52*E52)-'6.Détails activités passés'!E24)/'6.Détails activités passés'!E24))</f>
        <v>0</v>
      </c>
      <c r="O52" s="1211"/>
      <c r="P52" s="1211"/>
      <c r="Q52" s="1208">
        <f t="shared" si="20"/>
        <v>0</v>
      </c>
      <c r="R52" s="1224"/>
      <c r="S52" s="1213"/>
      <c r="T52" s="1208">
        <f t="shared" si="21"/>
        <v>0</v>
      </c>
      <c r="AL52" s="1231"/>
    </row>
    <row r="53" spans="1:38" ht="16.5" customHeight="1" x14ac:dyDescent="0.25">
      <c r="A53" s="25"/>
      <c r="B53" s="2240"/>
      <c r="C53" s="1157" t="s">
        <v>90</v>
      </c>
      <c r="D53" s="1280"/>
      <c r="E53" s="1281"/>
      <c r="F53" s="1282"/>
      <c r="G53" s="1280"/>
      <c r="H53" s="1281"/>
      <c r="I53" s="1268" t="str">
        <f>IF((F53*(Q53+1)=0),"0",F53*(Q53+1))</f>
        <v>0</v>
      </c>
      <c r="J53" s="1280"/>
      <c r="K53" s="1281"/>
      <c r="L53" s="1283" t="str">
        <f>IF((I53*(T53+1)=0),"0",I53*(T53+1))</f>
        <v>0</v>
      </c>
      <c r="M53" s="1270"/>
      <c r="N53" s="1223">
        <f>IF(('6.Détails activités passés'!E25=""),(D53*E53)%,(((D53*E53)-'6.Détails activités passés'!E25)/'6.Détails activités passés'!E25))</f>
        <v>0</v>
      </c>
      <c r="O53" s="1335"/>
      <c r="P53" s="1334"/>
      <c r="Q53" s="1219"/>
      <c r="R53" s="1335"/>
      <c r="S53" s="1281"/>
      <c r="T53" s="1219"/>
      <c r="AL53" s="1231"/>
    </row>
    <row r="54" spans="1:38" ht="16.5" customHeight="1" x14ac:dyDescent="0.25">
      <c r="A54" s="25"/>
      <c r="B54" s="2241"/>
      <c r="C54" s="1413" t="s">
        <v>78</v>
      </c>
      <c r="D54" s="1414"/>
      <c r="E54" s="1415">
        <f>SUM(E48:E52)</f>
        <v>0</v>
      </c>
      <c r="F54" s="1416">
        <f>SUM(F48:F53)</f>
        <v>0</v>
      </c>
      <c r="G54" s="1417"/>
      <c r="H54" s="1415">
        <f>SUM(H48:H52)</f>
        <v>0</v>
      </c>
      <c r="I54" s="1418">
        <f>SUM(I48:I53)</f>
        <v>0</v>
      </c>
      <c r="J54" s="1419"/>
      <c r="K54" s="1420">
        <f>SUM(K48:K52)</f>
        <v>0</v>
      </c>
      <c r="L54" s="1421">
        <f>SUM(L48:L53)</f>
        <v>0</v>
      </c>
      <c r="M54" s="1270"/>
      <c r="N54" s="1422" t="e">
        <f>IF(('6.Détails activités passés'!E14=""),F54%,((F54-'6.Détails activités passés'!E14)/'6.Détails activités passés'!E14))</f>
        <v>#DIV/0!</v>
      </c>
      <c r="O54" s="1423"/>
      <c r="P54" s="1424">
        <f>IF((E54=0),H54%,((H54-E54)/E54))</f>
        <v>0</v>
      </c>
      <c r="Q54" s="1425">
        <f>IF((F54=0),I54%,((I54-F54)/F54))</f>
        <v>0</v>
      </c>
      <c r="R54" s="1426"/>
      <c r="S54" s="1427">
        <f>IF((H54=0),K54%,((K54-H54)/H54))</f>
        <v>0</v>
      </c>
      <c r="T54" s="1428">
        <f>IF((I54=0),L54%,((L54-I54)/I54))</f>
        <v>0</v>
      </c>
      <c r="U54" s="876"/>
      <c r="AL54" s="1231"/>
    </row>
    <row r="55" spans="1:38" ht="16.5" customHeight="1" x14ac:dyDescent="0.25">
      <c r="B55" s="2227" t="s">
        <v>296</v>
      </c>
      <c r="C55" s="495" t="s">
        <v>322</v>
      </c>
      <c r="D55" s="1285"/>
      <c r="E55" s="1277"/>
      <c r="F55" s="1272" t="str">
        <f>IF((D55+E55=0),"",D55*E55)</f>
        <v/>
      </c>
      <c r="G55" s="1278">
        <f t="shared" si="14"/>
        <v>0</v>
      </c>
      <c r="H55" s="1279">
        <f t="shared" si="15"/>
        <v>0</v>
      </c>
      <c r="I55" s="1275" t="str">
        <f t="shared" si="16"/>
        <v/>
      </c>
      <c r="J55" s="1273">
        <f t="shared" si="17"/>
        <v>0</v>
      </c>
      <c r="K55" s="1279">
        <f t="shared" si="18"/>
        <v>0</v>
      </c>
      <c r="L55" s="1272" t="str">
        <f t="shared" si="19"/>
        <v/>
      </c>
      <c r="M55" s="1270"/>
      <c r="N55" s="1208">
        <f>IF(('6.Détails activités passés'!H17=""),(D55*E55)%,(((D55*E55)-'6.Détails activités passés'!H17)/'6.Détails activités passés'!H17))</f>
        <v>0</v>
      </c>
      <c r="O55" s="1214"/>
      <c r="P55" s="1211"/>
      <c r="Q55" s="1208">
        <f>IF((F55=""),(G55*H55)%,((((G55*H55)-F55)/F55)))</f>
        <v>0</v>
      </c>
      <c r="R55" s="1212"/>
      <c r="S55" s="1211"/>
      <c r="T55" s="1208">
        <f t="shared" si="21"/>
        <v>0</v>
      </c>
      <c r="AL55" s="1231"/>
    </row>
    <row r="56" spans="1:38" ht="16.5" customHeight="1" x14ac:dyDescent="0.25">
      <c r="B56" s="2228"/>
      <c r="C56" s="431" t="s">
        <v>323</v>
      </c>
      <c r="D56" s="986"/>
      <c r="E56" s="1277"/>
      <c r="F56" s="1272" t="str">
        <f t="shared" ref="F56:F59" si="22">IF((D56+E56=0),"",D56*E56)</f>
        <v/>
      </c>
      <c r="G56" s="1278">
        <f t="shared" si="14"/>
        <v>0</v>
      </c>
      <c r="H56" s="1279">
        <f>E56*(P56+1)</f>
        <v>0</v>
      </c>
      <c r="I56" s="1275" t="str">
        <f t="shared" si="16"/>
        <v/>
      </c>
      <c r="J56" s="1278">
        <f t="shared" si="17"/>
        <v>0</v>
      </c>
      <c r="K56" s="1279">
        <f t="shared" si="18"/>
        <v>0</v>
      </c>
      <c r="L56" s="1272" t="str">
        <f t="shared" si="19"/>
        <v/>
      </c>
      <c r="M56" s="1270"/>
      <c r="N56" s="1208">
        <f>IF(('6.Détails activités passés'!H18=""),(D56*E56)%,(((D56*E56)-'6.Détails activités passés'!H18)/'6.Détails activités passés'!H18))</f>
        <v>0</v>
      </c>
      <c r="O56" s="1211"/>
      <c r="P56" s="1211"/>
      <c r="Q56" s="1208">
        <f t="shared" ref="Q56:Q86" si="23">IF((F56=""),(G56*H56)%,((((G56*H56)-F56)/F56)))</f>
        <v>0</v>
      </c>
      <c r="R56" s="1212"/>
      <c r="S56" s="1211"/>
      <c r="T56" s="1208">
        <f t="shared" si="21"/>
        <v>0</v>
      </c>
      <c r="AL56" s="1231"/>
    </row>
    <row r="57" spans="1:38" ht="16.5" customHeight="1" x14ac:dyDescent="0.25">
      <c r="B57" s="2228"/>
      <c r="C57" s="431" t="s">
        <v>324</v>
      </c>
      <c r="D57" s="986"/>
      <c r="E57" s="1277"/>
      <c r="F57" s="1272" t="str">
        <f t="shared" si="22"/>
        <v/>
      </c>
      <c r="G57" s="1278">
        <f t="shared" si="14"/>
        <v>0</v>
      </c>
      <c r="H57" s="1279">
        <f t="shared" si="15"/>
        <v>0</v>
      </c>
      <c r="I57" s="1275" t="str">
        <f t="shared" si="16"/>
        <v/>
      </c>
      <c r="J57" s="1278">
        <f t="shared" si="17"/>
        <v>0</v>
      </c>
      <c r="K57" s="1279">
        <f t="shared" si="18"/>
        <v>0</v>
      </c>
      <c r="L57" s="1272" t="str">
        <f t="shared" si="19"/>
        <v/>
      </c>
      <c r="M57" s="1270"/>
      <c r="N57" s="1208">
        <f>IF(('6.Détails activités passés'!H21=""),(D57*E57)%,(((D57*E57)-'6.Détails activités passés'!H21)/'6.Détails activités passés'!H21))</f>
        <v>0</v>
      </c>
      <c r="O57" s="1211"/>
      <c r="P57" s="1211"/>
      <c r="Q57" s="1208">
        <f t="shared" si="23"/>
        <v>0</v>
      </c>
      <c r="R57" s="1212"/>
      <c r="S57" s="1211"/>
      <c r="T57" s="1208">
        <f t="shared" si="21"/>
        <v>0</v>
      </c>
      <c r="AL57" s="1231"/>
    </row>
    <row r="58" spans="1:38" ht="16.5" customHeight="1" x14ac:dyDescent="0.25">
      <c r="B58" s="2228"/>
      <c r="C58" s="431" t="s">
        <v>325</v>
      </c>
      <c r="D58" s="986"/>
      <c r="E58" s="1277"/>
      <c r="F58" s="1272" t="str">
        <f t="shared" si="22"/>
        <v/>
      </c>
      <c r="G58" s="1278">
        <f t="shared" si="14"/>
        <v>0</v>
      </c>
      <c r="H58" s="1279">
        <f t="shared" si="15"/>
        <v>0</v>
      </c>
      <c r="I58" s="1275" t="str">
        <f t="shared" si="16"/>
        <v/>
      </c>
      <c r="J58" s="1278">
        <f t="shared" si="17"/>
        <v>0</v>
      </c>
      <c r="K58" s="1279">
        <f t="shared" si="18"/>
        <v>0</v>
      </c>
      <c r="L58" s="1272" t="str">
        <f t="shared" si="19"/>
        <v/>
      </c>
      <c r="M58" s="1270"/>
      <c r="N58" s="1208">
        <f>IF(('6.Détails activités passés'!H22=""),(D58*E58)%,(((D58*E58)-'6.Détails activités passés'!H22)/'6.Détails activités passés'!H22))</f>
        <v>0</v>
      </c>
      <c r="O58" s="1211"/>
      <c r="P58" s="1211"/>
      <c r="Q58" s="1208">
        <f t="shared" si="23"/>
        <v>0</v>
      </c>
      <c r="R58" s="1212"/>
      <c r="S58" s="1211"/>
      <c r="T58" s="1208">
        <f t="shared" si="21"/>
        <v>0</v>
      </c>
      <c r="AL58" s="1231"/>
    </row>
    <row r="59" spans="1:38" ht="16.5" customHeight="1" x14ac:dyDescent="0.25">
      <c r="B59" s="2228"/>
      <c r="C59" s="431" t="s">
        <v>71</v>
      </c>
      <c r="D59" s="1333"/>
      <c r="E59" s="1277"/>
      <c r="F59" s="1272" t="str">
        <f t="shared" si="22"/>
        <v/>
      </c>
      <c r="G59" s="1278">
        <f t="shared" si="14"/>
        <v>0</v>
      </c>
      <c r="H59" s="1279">
        <f t="shared" si="15"/>
        <v>0</v>
      </c>
      <c r="I59" s="1275" t="str">
        <f t="shared" si="16"/>
        <v/>
      </c>
      <c r="J59" s="1278">
        <f t="shared" si="17"/>
        <v>0</v>
      </c>
      <c r="K59" s="1279">
        <f t="shared" si="18"/>
        <v>0</v>
      </c>
      <c r="L59" s="1328" t="str">
        <f t="shared" si="19"/>
        <v/>
      </c>
      <c r="M59" s="1270"/>
      <c r="N59" s="1208">
        <f>IF(('6.Détails activités passés'!H24=""),(D59*E59)%,(((D59*E59)-'6.Détails activités passés'!H24)/'6.Détails activités passés'!H24))</f>
        <v>0</v>
      </c>
      <c r="O59" s="1211"/>
      <c r="P59" s="1211"/>
      <c r="Q59" s="1208">
        <f t="shared" si="23"/>
        <v>0</v>
      </c>
      <c r="R59" s="1212"/>
      <c r="S59" s="1211"/>
      <c r="T59" s="1208">
        <f t="shared" si="21"/>
        <v>0</v>
      </c>
      <c r="AL59" s="1231"/>
    </row>
    <row r="60" spans="1:38" ht="16.5" customHeight="1" x14ac:dyDescent="0.25">
      <c r="B60" s="2228"/>
      <c r="C60" s="1157" t="s">
        <v>90</v>
      </c>
      <c r="D60" s="1280"/>
      <c r="E60" s="1281"/>
      <c r="F60" s="1282"/>
      <c r="G60" s="1280"/>
      <c r="H60" s="1281"/>
      <c r="I60" s="1268" t="str">
        <f>IF((F60*(Q60+1)=0),"0",F60*(Q60+1))</f>
        <v>0</v>
      </c>
      <c r="J60" s="1280"/>
      <c r="K60" s="1281"/>
      <c r="L60" s="1283" t="str">
        <f>IF((I60*(T60+1)=0),"0",I60*(T60+1))</f>
        <v>0</v>
      </c>
      <c r="M60" s="1270"/>
      <c r="N60" s="1208">
        <f>IF(('6.Détails activités passés'!H25=""),(D60*E60)%,(((D60*E60)-'6.Détails activités passés'!H25)/'6.Détails activités passés'!H25))</f>
        <v>0</v>
      </c>
      <c r="O60" s="1335"/>
      <c r="P60" s="1281"/>
      <c r="Q60" s="1219"/>
      <c r="R60" s="1335"/>
      <c r="S60" s="1281"/>
      <c r="T60" s="1267"/>
      <c r="AL60" s="1231"/>
    </row>
    <row r="61" spans="1:38" ht="16.5" customHeight="1" x14ac:dyDescent="0.25">
      <c r="B61" s="2229"/>
      <c r="C61" s="1429" t="s">
        <v>78</v>
      </c>
      <c r="D61" s="1430"/>
      <c r="E61" s="1431">
        <f>SUM(E55:E59)</f>
        <v>0</v>
      </c>
      <c r="F61" s="1432">
        <f>SUM(F55:F60)</f>
        <v>0</v>
      </c>
      <c r="G61" s="1433"/>
      <c r="H61" s="1431">
        <f>SUM(H55:H59)</f>
        <v>0</v>
      </c>
      <c r="I61" s="1434">
        <f>SUM(I55:I60)</f>
        <v>0</v>
      </c>
      <c r="J61" s="1435"/>
      <c r="K61" s="1431">
        <f>SUM(K55:K59)</f>
        <v>0</v>
      </c>
      <c r="L61" s="1436">
        <f>SUM(L55:L60)</f>
        <v>0</v>
      </c>
      <c r="M61" s="1270"/>
      <c r="N61" s="1437" t="e">
        <f>IF(('6.Détails activités passés'!H14=""),F61%,((F61-'6.Détails activités passés'!H14)/'6.Détails activités passés'!H14))</f>
        <v>#DIV/0!</v>
      </c>
      <c r="O61" s="1438"/>
      <c r="P61" s="1439">
        <f>IF((E61=0),H61%,((H61-E61)/E61))</f>
        <v>0</v>
      </c>
      <c r="Q61" s="1440">
        <f>IF((F61=0),I61%,((I61-F61)/F61))</f>
        <v>0</v>
      </c>
      <c r="R61" s="1438"/>
      <c r="S61" s="1439">
        <f>IF((H61=0),K61%,((K61-H61)/H61))</f>
        <v>0</v>
      </c>
      <c r="T61" s="1441">
        <f>IF((I61=0),L61%,((L61-I61)/I61))</f>
        <v>0</v>
      </c>
      <c r="AL61" s="1231"/>
    </row>
    <row r="62" spans="1:38" ht="16.5" customHeight="1" x14ac:dyDescent="0.25">
      <c r="A62" s="25"/>
      <c r="B62" s="2230" t="s">
        <v>101</v>
      </c>
      <c r="C62" s="431" t="s">
        <v>471</v>
      </c>
      <c r="D62" s="986"/>
      <c r="E62" s="1277"/>
      <c r="F62" s="1272" t="str">
        <f>IF((D62+E62=0),"",D62*E62)</f>
        <v/>
      </c>
      <c r="G62" s="1278">
        <f t="shared" si="14"/>
        <v>0</v>
      </c>
      <c r="H62" s="1279">
        <f t="shared" si="15"/>
        <v>0</v>
      </c>
      <c r="I62" s="1275" t="str">
        <f t="shared" si="16"/>
        <v/>
      </c>
      <c r="J62" s="1276">
        <f t="shared" si="17"/>
        <v>0</v>
      </c>
      <c r="K62" s="1279">
        <f t="shared" si="18"/>
        <v>0</v>
      </c>
      <c r="L62" s="1272" t="str">
        <f t="shared" si="19"/>
        <v/>
      </c>
      <c r="M62" s="1270"/>
      <c r="N62" s="1208">
        <f>IF(('6.Détails activités passés'!K19=""),(D62*E62)%,(((D62*E62)-'6.Détails activités passés'!K19)/'6.Détails activités passés'!K19))</f>
        <v>0</v>
      </c>
      <c r="O62" s="1211"/>
      <c r="P62" s="1211"/>
      <c r="Q62" s="1208">
        <f t="shared" si="23"/>
        <v>0</v>
      </c>
      <c r="R62" s="1212"/>
      <c r="S62" s="1211"/>
      <c r="T62" s="1208">
        <f t="shared" si="21"/>
        <v>0</v>
      </c>
      <c r="AL62" s="1231"/>
    </row>
    <row r="63" spans="1:38" ht="16.5" customHeight="1" x14ac:dyDescent="0.25">
      <c r="A63" s="25"/>
      <c r="B63" s="2231"/>
      <c r="C63" s="431" t="s">
        <v>326</v>
      </c>
      <c r="D63" s="986"/>
      <c r="E63" s="1277"/>
      <c r="F63" s="1272" t="str">
        <f t="shared" ref="F63:F64" si="24">IF((D63+E63=0),"",D63*E63)</f>
        <v/>
      </c>
      <c r="G63" s="1278">
        <f t="shared" si="14"/>
        <v>0</v>
      </c>
      <c r="H63" s="1279">
        <f t="shared" si="15"/>
        <v>0</v>
      </c>
      <c r="I63" s="1275" t="str">
        <f t="shared" si="16"/>
        <v/>
      </c>
      <c r="J63" s="1278">
        <f t="shared" si="17"/>
        <v>0</v>
      </c>
      <c r="K63" s="1279">
        <f t="shared" si="18"/>
        <v>0</v>
      </c>
      <c r="L63" s="1272" t="str">
        <f t="shared" si="19"/>
        <v/>
      </c>
      <c r="M63" s="1270"/>
      <c r="N63" s="1208">
        <f>IF(('6.Détails activités passés'!K20=""),(D63*E63)%,(((D63*E63)-'6.Détails activités passés'!K20)/'6.Détails activités passés'!K20))</f>
        <v>0</v>
      </c>
      <c r="O63" s="1211"/>
      <c r="P63" s="1211"/>
      <c r="Q63" s="1208">
        <f t="shared" si="23"/>
        <v>0</v>
      </c>
      <c r="R63" s="1212"/>
      <c r="S63" s="1211"/>
      <c r="T63" s="1208">
        <f t="shared" si="21"/>
        <v>0</v>
      </c>
      <c r="AL63" s="1231"/>
    </row>
    <row r="64" spans="1:38" ht="16.5" customHeight="1" x14ac:dyDescent="0.25">
      <c r="A64" s="25"/>
      <c r="B64" s="2231"/>
      <c r="C64" s="431" t="s">
        <v>71</v>
      </c>
      <c r="D64" s="986"/>
      <c r="E64" s="1277"/>
      <c r="F64" s="1272" t="str">
        <f t="shared" si="24"/>
        <v/>
      </c>
      <c r="G64" s="1278">
        <f t="shared" si="14"/>
        <v>0</v>
      </c>
      <c r="H64" s="1279">
        <f t="shared" si="15"/>
        <v>0</v>
      </c>
      <c r="I64" s="1275" t="str">
        <f t="shared" si="16"/>
        <v/>
      </c>
      <c r="J64" s="1278">
        <f t="shared" si="17"/>
        <v>0</v>
      </c>
      <c r="K64" s="1279">
        <f t="shared" si="18"/>
        <v>0</v>
      </c>
      <c r="L64" s="1272" t="str">
        <f t="shared" si="19"/>
        <v/>
      </c>
      <c r="M64" s="1270"/>
      <c r="N64" s="1208">
        <f>IF(('6.Détails activités passés'!K24=""),(D64*E64)%,(((D64*E64)-'6.Détails activités passés'!K24)/'6.Détails activités passés'!K24))</f>
        <v>0</v>
      </c>
      <c r="O64" s="1211"/>
      <c r="P64" s="1211"/>
      <c r="Q64" s="1208">
        <f t="shared" si="23"/>
        <v>0</v>
      </c>
      <c r="R64" s="1212"/>
      <c r="S64" s="1211"/>
      <c r="T64" s="1208">
        <f t="shared" si="21"/>
        <v>0</v>
      </c>
      <c r="AL64" s="1231"/>
    </row>
    <row r="65" spans="1:38" ht="16.5" customHeight="1" x14ac:dyDescent="0.25">
      <c r="A65" s="25"/>
      <c r="B65" s="2231"/>
      <c r="C65" s="1338" t="s">
        <v>90</v>
      </c>
      <c r="D65" s="1299"/>
      <c r="E65" s="1281"/>
      <c r="F65" s="1282"/>
      <c r="G65" s="1280"/>
      <c r="H65" s="1281"/>
      <c r="I65" s="1268" t="str">
        <f>IF((F65*(Q65+1)=0),"0",F65*(Q65+1))</f>
        <v>0</v>
      </c>
      <c r="J65" s="1280"/>
      <c r="K65" s="1281"/>
      <c r="L65" s="1283">
        <f>I65*(1+T65)</f>
        <v>0</v>
      </c>
      <c r="M65" s="1270"/>
      <c r="N65" s="1208">
        <f>IF(('6.Détails activités passés'!K25=""),(D65*E65)%,(((D65*E65)-'6.Détails activités passés'!K25)/'6.Détails activités passés'!K25))</f>
        <v>0</v>
      </c>
      <c r="O65" s="1335"/>
      <c r="P65" s="1281"/>
      <c r="Q65" s="1219"/>
      <c r="R65" s="1335"/>
      <c r="S65" s="1337"/>
      <c r="T65" s="1219"/>
      <c r="AL65" s="1231"/>
    </row>
    <row r="66" spans="1:38" ht="16.5" customHeight="1" x14ac:dyDescent="0.25">
      <c r="A66" s="25"/>
      <c r="B66" s="2232"/>
      <c r="C66" s="1341" t="s">
        <v>78</v>
      </c>
      <c r="D66" s="1286"/>
      <c r="E66" s="1287">
        <f>SUM(E62:E64)</f>
        <v>0</v>
      </c>
      <c r="F66" s="1288">
        <f>SUM(F62:F65)</f>
        <v>0</v>
      </c>
      <c r="G66" s="1289"/>
      <c r="H66" s="1287">
        <f>SUM(H62:H64)</f>
        <v>0</v>
      </c>
      <c r="I66" s="1290">
        <f>SUM(I62:I65)</f>
        <v>0</v>
      </c>
      <c r="J66" s="1289"/>
      <c r="K66" s="1287">
        <f>SUM(K62:K64)</f>
        <v>0</v>
      </c>
      <c r="L66" s="1291">
        <f>SUM(L62:L65)</f>
        <v>0</v>
      </c>
      <c r="M66" s="1270"/>
      <c r="N66" s="1347" t="e">
        <f>IF(('6.Détails activités passés'!K14=""),F66%,((F66-'6.Détails activités passés'!K14)/'6.Détails activités passés'!K14))</f>
        <v>#DIV/0!</v>
      </c>
      <c r="O66" s="1215"/>
      <c r="P66" s="1343">
        <f>IF((E66=0),H66%,((H66-E66)/E66))</f>
        <v>0</v>
      </c>
      <c r="Q66" s="1217">
        <f>IF((F66=0),I66%,((I66-F66)/F66))</f>
        <v>0</v>
      </c>
      <c r="R66" s="1216"/>
      <c r="S66" s="1346">
        <f>IF((H66=0),K66%,((K66-H66)/H66))</f>
        <v>0</v>
      </c>
      <c r="T66" s="1218">
        <f>IF((I66=0),L66%,((L66-I66)/I66))</f>
        <v>0</v>
      </c>
      <c r="V66" s="876"/>
      <c r="AL66" s="1231"/>
    </row>
    <row r="67" spans="1:38" ht="16.5" customHeight="1" x14ac:dyDescent="0.25">
      <c r="A67" s="25"/>
      <c r="B67" s="2233" t="s">
        <v>299</v>
      </c>
      <c r="C67" s="431" t="s">
        <v>471</v>
      </c>
      <c r="D67" s="986"/>
      <c r="E67" s="1277"/>
      <c r="F67" s="1272" t="str">
        <f>IF((D67+E67=0),"",D67*E67)</f>
        <v/>
      </c>
      <c r="G67" s="1278">
        <f t="shared" si="14"/>
        <v>0</v>
      </c>
      <c r="H67" s="1279">
        <f t="shared" si="15"/>
        <v>0</v>
      </c>
      <c r="I67" s="1275" t="str">
        <f t="shared" si="16"/>
        <v/>
      </c>
      <c r="J67" s="1278">
        <f t="shared" si="17"/>
        <v>0</v>
      </c>
      <c r="K67" s="1279">
        <f t="shared" si="18"/>
        <v>0</v>
      </c>
      <c r="L67" s="1272" t="str">
        <f t="shared" si="19"/>
        <v/>
      </c>
      <c r="M67" s="1270"/>
      <c r="N67" s="1336">
        <f>IF(('6.Détails activités passés'!N19=""),(D67*E67)%,(((D67*E67)-'6.Détails activités passés'!N19)/'6.Détails activités passés'!N19))</f>
        <v>0</v>
      </c>
      <c r="O67" s="1211"/>
      <c r="P67" s="1211"/>
      <c r="Q67" s="1208">
        <f t="shared" si="23"/>
        <v>0</v>
      </c>
      <c r="R67" s="1212"/>
      <c r="S67" s="1211"/>
      <c r="T67" s="1208">
        <f t="shared" si="21"/>
        <v>0</v>
      </c>
      <c r="AL67" s="1231"/>
    </row>
    <row r="68" spans="1:38" ht="16.5" customHeight="1" x14ac:dyDescent="0.25">
      <c r="A68" s="25"/>
      <c r="B68" s="2234"/>
      <c r="C68" s="431" t="s">
        <v>326</v>
      </c>
      <c r="D68" s="986"/>
      <c r="E68" s="1277"/>
      <c r="F68" s="1272" t="str">
        <f t="shared" ref="F68:F69" si="25">IF((D68+E68=0),"",D68*E68)</f>
        <v/>
      </c>
      <c r="G68" s="1292">
        <f t="shared" si="14"/>
        <v>0</v>
      </c>
      <c r="H68" s="1293">
        <f t="shared" si="15"/>
        <v>0</v>
      </c>
      <c r="I68" s="1275" t="str">
        <f t="shared" si="16"/>
        <v/>
      </c>
      <c r="J68" s="1278">
        <f t="shared" si="17"/>
        <v>0</v>
      </c>
      <c r="K68" s="1279">
        <f t="shared" si="18"/>
        <v>0</v>
      </c>
      <c r="L68" s="1272" t="str">
        <f t="shared" si="19"/>
        <v/>
      </c>
      <c r="M68" s="1270"/>
      <c r="N68" s="1208">
        <f>IF(('6.Détails activités passés'!N20=""),(D68*E68)%,(((D68*E68)-'6.Détails activités passés'!N20)/'6.Détails activités passés'!N20))</f>
        <v>0</v>
      </c>
      <c r="O68" s="1211"/>
      <c r="P68" s="1211"/>
      <c r="Q68" s="1208">
        <f t="shared" si="23"/>
        <v>0</v>
      </c>
      <c r="R68" s="1212"/>
      <c r="S68" s="1211"/>
      <c r="T68" s="1208">
        <f t="shared" si="21"/>
        <v>0</v>
      </c>
      <c r="AL68" s="1231"/>
    </row>
    <row r="69" spans="1:38" ht="16.5" customHeight="1" x14ac:dyDescent="0.25">
      <c r="A69" s="25"/>
      <c r="B69" s="2234"/>
      <c r="C69" s="431" t="s">
        <v>71</v>
      </c>
      <c r="D69" s="986"/>
      <c r="E69" s="1277"/>
      <c r="F69" s="1272" t="str">
        <f t="shared" si="25"/>
        <v/>
      </c>
      <c r="G69" s="1278">
        <f t="shared" si="14"/>
        <v>0</v>
      </c>
      <c r="H69" s="1279">
        <f t="shared" si="15"/>
        <v>0</v>
      </c>
      <c r="I69" s="1275" t="str">
        <f t="shared" si="16"/>
        <v/>
      </c>
      <c r="J69" s="1278">
        <f t="shared" si="17"/>
        <v>0</v>
      </c>
      <c r="K69" s="1279">
        <f t="shared" si="18"/>
        <v>0</v>
      </c>
      <c r="L69" s="1272" t="str">
        <f t="shared" si="19"/>
        <v/>
      </c>
      <c r="M69" s="1270"/>
      <c r="N69" s="1208">
        <f>IF(('6.Détails activités passés'!N24=""),(D69*E69)%,(((D69*E69)-'6.Détails activités passés'!N24)/'6.Détails activités passés'!N24))</f>
        <v>0</v>
      </c>
      <c r="O69" s="1211"/>
      <c r="P69" s="1211"/>
      <c r="Q69" s="1208">
        <f t="shared" si="23"/>
        <v>0</v>
      </c>
      <c r="R69" s="1212"/>
      <c r="S69" s="1211"/>
      <c r="T69" s="1208">
        <f t="shared" si="21"/>
        <v>0</v>
      </c>
      <c r="AL69" s="1231"/>
    </row>
    <row r="70" spans="1:38" ht="16.5" customHeight="1" x14ac:dyDescent="0.25">
      <c r="A70" s="25"/>
      <c r="B70" s="2234"/>
      <c r="C70" s="1157" t="s">
        <v>90</v>
      </c>
      <c r="D70" s="1299"/>
      <c r="E70" s="1281"/>
      <c r="F70" s="1282"/>
      <c r="G70" s="1280"/>
      <c r="H70" s="1281"/>
      <c r="I70" s="1268" t="str">
        <f>IF((F70*(Q70+1)=0),"0",F60*(Q70+1))</f>
        <v>0</v>
      </c>
      <c r="J70" s="1280"/>
      <c r="K70" s="1281"/>
      <c r="L70" s="1283">
        <f>I70*(T70+1)</f>
        <v>0</v>
      </c>
      <c r="M70" s="1270"/>
      <c r="N70" s="1208">
        <f>IF(('6.Détails activités passés'!N25=""),(D70*E70)%,(((D70*E70)-'6.Détails activités passés'!N25)/'6.Détails activités passés'!N25))</f>
        <v>0</v>
      </c>
      <c r="O70" s="1335"/>
      <c r="P70" s="1281"/>
      <c r="Q70" s="1219"/>
      <c r="R70" s="1335"/>
      <c r="S70" s="1281"/>
      <c r="T70" s="1219"/>
      <c r="AL70" s="1231"/>
    </row>
    <row r="71" spans="1:38" ht="16.5" customHeight="1" x14ac:dyDescent="0.25">
      <c r="A71" s="25"/>
      <c r="B71" s="2235"/>
      <c r="C71" s="1442" t="s">
        <v>78</v>
      </c>
      <c r="D71" s="1443"/>
      <c r="E71" s="1444">
        <f>SUM(E67:E69)</f>
        <v>0</v>
      </c>
      <c r="F71" s="1445">
        <f>SUM(F67:F70)</f>
        <v>0</v>
      </c>
      <c r="G71" s="1446"/>
      <c r="H71" s="1447">
        <f>SUM(H67:H69)</f>
        <v>0</v>
      </c>
      <c r="I71" s="1448">
        <f>SUM(I67:I70)</f>
        <v>0</v>
      </c>
      <c r="J71" s="1446"/>
      <c r="K71" s="1444">
        <f>SUM(K67:K69)</f>
        <v>0</v>
      </c>
      <c r="L71" s="1449">
        <f>SUM(L67:L70)</f>
        <v>0</v>
      </c>
      <c r="M71" s="1270"/>
      <c r="N71" s="1450" t="e">
        <f>IF(('6.Détails activités passés'!N14=""),F71%,((F71-'6.Détails activités passés'!N14)/'6.Détails activités passés'!N14))</f>
        <v>#DIV/0!</v>
      </c>
      <c r="O71" s="1451"/>
      <c r="P71" s="1450">
        <f>IF((E71=0),H71%,((H71-E71)/E71))</f>
        <v>0</v>
      </c>
      <c r="Q71" s="1452">
        <f>IF((F71=0),I71%,((I71-F71)/F71))</f>
        <v>0</v>
      </c>
      <c r="R71" s="1450"/>
      <c r="S71" s="1453">
        <f>IF((H71=0),K71%,((K71-H71)/H71))</f>
        <v>0</v>
      </c>
      <c r="T71" s="1454">
        <f>IF((I71=0),L71%,((L71-I71)/I71))</f>
        <v>0</v>
      </c>
      <c r="AL71" s="1231"/>
    </row>
    <row r="72" spans="1:38" ht="16.5" customHeight="1" x14ac:dyDescent="0.25">
      <c r="B72" s="2236" t="s">
        <v>495</v>
      </c>
      <c r="C72" s="431" t="s">
        <v>439</v>
      </c>
      <c r="D72" s="1294"/>
      <c r="E72" s="1295"/>
      <c r="F72" s="1282"/>
      <c r="G72" s="1296"/>
      <c r="H72" s="1295"/>
      <c r="I72" s="1268">
        <f>F72*(Q72+1)</f>
        <v>0</v>
      </c>
      <c r="J72" s="1294"/>
      <c r="K72" s="1295"/>
      <c r="L72" s="1268">
        <f>I72*(T72+1)</f>
        <v>0</v>
      </c>
      <c r="M72" s="1270"/>
      <c r="N72" s="1208">
        <f>IF(('6.Détails activités passés'!Q23=""),F72%,((F72-'6.Détails activités passés'!Q23)/'6.Détails activités passés'!Q23))</f>
        <v>0</v>
      </c>
      <c r="O72" s="1297"/>
      <c r="P72" s="1298"/>
      <c r="Q72" s="1219"/>
      <c r="R72" s="1297"/>
      <c r="S72" s="1298"/>
      <c r="T72" s="1219"/>
      <c r="AL72" s="1231"/>
    </row>
    <row r="73" spans="1:38" ht="16.5" customHeight="1" x14ac:dyDescent="0.25">
      <c r="B73" s="2237"/>
      <c r="C73" s="431" t="s">
        <v>71</v>
      </c>
      <c r="D73" s="1299"/>
      <c r="E73" s="1300"/>
      <c r="F73" s="1282"/>
      <c r="G73" s="1280"/>
      <c r="H73" s="1300"/>
      <c r="I73" s="1268">
        <f>F73*(Q73+1)</f>
        <v>0</v>
      </c>
      <c r="J73" s="1299"/>
      <c r="K73" s="1300"/>
      <c r="L73" s="1268">
        <f>I73*(T73+1)</f>
        <v>0</v>
      </c>
      <c r="M73" s="1270"/>
      <c r="N73" s="1208">
        <f>IF(('6.Détails activités passés'!Q24=""),F73%,((F73-'6.Détails activités passés'!Q24)/'6.Détails activités passés'!Q24))</f>
        <v>0</v>
      </c>
      <c r="O73" s="1284"/>
      <c r="P73" s="1301"/>
      <c r="Q73" s="1219"/>
      <c r="R73" s="1284"/>
      <c r="S73" s="1301"/>
      <c r="T73" s="1219"/>
      <c r="AL73" s="1231"/>
    </row>
    <row r="74" spans="1:38" ht="16.5" customHeight="1" x14ac:dyDescent="0.25">
      <c r="B74" s="2238"/>
      <c r="C74" s="1340" t="s">
        <v>78</v>
      </c>
      <c r="D74" s="1302"/>
      <c r="E74" s="1303"/>
      <c r="F74" s="1304">
        <f>SUM(F72:F73)</f>
        <v>0</v>
      </c>
      <c r="G74" s="1305"/>
      <c r="H74" s="1303"/>
      <c r="I74" s="1306">
        <f>SUM(I72:I73)</f>
        <v>0</v>
      </c>
      <c r="J74" s="1305"/>
      <c r="K74" s="1303"/>
      <c r="L74" s="1307">
        <f>SUM(L72:L73)</f>
        <v>0</v>
      </c>
      <c r="M74" s="1270"/>
      <c r="N74" s="1220" t="e">
        <f>IF(('6.Détails activités passés'!Q14=""),F74%,((F74-'6.Détails activités passés'!Q14)/'6.Détails activités passés'!Q14))</f>
        <v>#DIV/0!</v>
      </c>
      <c r="O74" s="1348"/>
      <c r="P74" s="1345"/>
      <c r="Q74" s="1221">
        <f>IF((F74=0),I74%,((I74-F74)/F74))</f>
        <v>0</v>
      </c>
      <c r="R74" s="1344"/>
      <c r="S74" s="1345"/>
      <c r="T74" s="1222">
        <f>IF((I74=0),L74%,((L74-I74)/I74))</f>
        <v>0</v>
      </c>
      <c r="AL74" s="1231"/>
    </row>
    <row r="75" spans="1:38" ht="16.5" customHeight="1" x14ac:dyDescent="0.25">
      <c r="B75" s="2221" t="s">
        <v>496</v>
      </c>
      <c r="C75" s="431" t="s">
        <v>439</v>
      </c>
      <c r="D75" s="1294"/>
      <c r="E75" s="1295"/>
      <c r="F75" s="1282"/>
      <c r="G75" s="1296"/>
      <c r="H75" s="1295"/>
      <c r="I75" s="1268">
        <f>F75*(Q75+1)</f>
        <v>0</v>
      </c>
      <c r="J75" s="1294"/>
      <c r="K75" s="1295"/>
      <c r="L75" s="1268">
        <f>I75*(T75+1)</f>
        <v>0</v>
      </c>
      <c r="M75" s="1270"/>
      <c r="N75" s="1208">
        <f>IF(('6.Détails activités passés'!T23=""),F75%,((F75-'6.Détails activités passés'!T23)/'6.Détails activités passés'!T23))</f>
        <v>0</v>
      </c>
      <c r="O75" s="1297"/>
      <c r="P75" s="1298"/>
      <c r="Q75" s="1219"/>
      <c r="R75" s="1297"/>
      <c r="S75" s="1298"/>
      <c r="T75" s="1219"/>
      <c r="AL75" s="1231"/>
    </row>
    <row r="76" spans="1:38" ht="16.5" customHeight="1" x14ac:dyDescent="0.25">
      <c r="B76" s="2222"/>
      <c r="C76" s="431" t="s">
        <v>71</v>
      </c>
      <c r="D76" s="1299"/>
      <c r="E76" s="1300"/>
      <c r="F76" s="1282"/>
      <c r="G76" s="1280"/>
      <c r="H76" s="1300"/>
      <c r="I76" s="1268">
        <f>F76*(Q76+1)</f>
        <v>0</v>
      </c>
      <c r="J76" s="1299"/>
      <c r="K76" s="1300"/>
      <c r="L76" s="1268">
        <f>I76*(T76+1)</f>
        <v>0</v>
      </c>
      <c r="M76" s="1270"/>
      <c r="N76" s="1208">
        <f>IF(('6.Détails activités passés'!T24=""),F76%,((F76-'6.Détails activités passés'!T24)/'6.Détails activités passés'!T24))</f>
        <v>0</v>
      </c>
      <c r="O76" s="1284"/>
      <c r="P76" s="1301"/>
      <c r="Q76" s="1219"/>
      <c r="R76" s="1284"/>
      <c r="S76" s="1301"/>
      <c r="T76" s="1219"/>
      <c r="AL76" s="1231"/>
    </row>
    <row r="77" spans="1:38" ht="16.5" customHeight="1" x14ac:dyDescent="0.25">
      <c r="B77" s="2223"/>
      <c r="C77" s="1455" t="s">
        <v>78</v>
      </c>
      <c r="D77" s="1456"/>
      <c r="E77" s="1457"/>
      <c r="F77" s="1458">
        <f>SUM(F75:F76)</f>
        <v>0</v>
      </c>
      <c r="G77" s="1459"/>
      <c r="H77" s="1457"/>
      <c r="I77" s="1460">
        <f>SUM(I75:I76)</f>
        <v>0</v>
      </c>
      <c r="J77" s="1459"/>
      <c r="K77" s="1457"/>
      <c r="L77" s="1461">
        <f>SUM(L75:L76)</f>
        <v>0</v>
      </c>
      <c r="M77" s="1270"/>
      <c r="N77" s="1464">
        <f>IF(('6.Détails activités passés'!T24=""),F77%,((F77-'6.Détails activités passés'!T24)/'6.Détails activités passés'!T24))</f>
        <v>0</v>
      </c>
      <c r="O77" s="1462"/>
      <c r="P77" s="1463"/>
      <c r="Q77" s="1464">
        <f>IF((F77=0),I77%,((I77-F77)/F77))</f>
        <v>0</v>
      </c>
      <c r="R77" s="1465"/>
      <c r="S77" s="1463"/>
      <c r="T77" s="1464">
        <f>IF((I77=0),L77%,((L77-I77)/I77))</f>
        <v>0</v>
      </c>
      <c r="AL77" s="1231"/>
    </row>
    <row r="78" spans="1:38" ht="16.5" customHeight="1" x14ac:dyDescent="0.25">
      <c r="B78" s="2224" t="s">
        <v>71</v>
      </c>
      <c r="C78" s="431" t="s">
        <v>320</v>
      </c>
      <c r="D78" s="986"/>
      <c r="E78" s="1277"/>
      <c r="F78" s="1272" t="str">
        <f>IF((D78+E78=0),"",D78*E78)</f>
        <v/>
      </c>
      <c r="G78" s="1278">
        <f t="shared" si="14"/>
        <v>0</v>
      </c>
      <c r="H78" s="1279">
        <f t="shared" si="15"/>
        <v>0</v>
      </c>
      <c r="I78" s="1275" t="str">
        <f t="shared" si="16"/>
        <v/>
      </c>
      <c r="J78" s="1278">
        <f t="shared" si="17"/>
        <v>0</v>
      </c>
      <c r="K78" s="1279">
        <f t="shared" si="18"/>
        <v>0</v>
      </c>
      <c r="L78" s="1272" t="str">
        <f t="shared" si="19"/>
        <v/>
      </c>
      <c r="M78" s="1270"/>
      <c r="N78" s="1208">
        <f>IF(('6.Détails activités passés'!W15=""),(D78*E78)%,(((D78*E78)-'6.Détails activités passés'!W15)/'6.Détails activités passés'!W15))</f>
        <v>0</v>
      </c>
      <c r="O78" s="1210"/>
      <c r="P78" s="1211"/>
      <c r="Q78" s="1208">
        <f t="shared" si="23"/>
        <v>0</v>
      </c>
      <c r="R78" s="1212"/>
      <c r="S78" s="1211"/>
      <c r="T78" s="1208">
        <f t="shared" si="21"/>
        <v>0</v>
      </c>
      <c r="AL78" s="1231"/>
    </row>
    <row r="79" spans="1:38" ht="16.5" customHeight="1" x14ac:dyDescent="0.25">
      <c r="B79" s="2225"/>
      <c r="C79" s="431" t="s">
        <v>321</v>
      </c>
      <c r="D79" s="986"/>
      <c r="E79" s="1277"/>
      <c r="F79" s="1272" t="str">
        <f t="shared" ref="F79:F85" si="26">IF((D79+E79=0),"",D79*E79)</f>
        <v/>
      </c>
      <c r="G79" s="1278">
        <f t="shared" si="14"/>
        <v>0</v>
      </c>
      <c r="H79" s="1279">
        <f t="shared" si="15"/>
        <v>0</v>
      </c>
      <c r="I79" s="1275" t="str">
        <f t="shared" si="16"/>
        <v/>
      </c>
      <c r="J79" s="1278">
        <f t="shared" si="17"/>
        <v>0</v>
      </c>
      <c r="K79" s="1279">
        <f t="shared" si="18"/>
        <v>0</v>
      </c>
      <c r="L79" s="1272" t="str">
        <f t="shared" si="19"/>
        <v/>
      </c>
      <c r="M79" s="1270"/>
      <c r="N79" s="1208">
        <f>IF(('6.Détails activités passés'!W16=""),(D79*E79)%,(((D79*E79)-'6.Détails activités passés'!W16)/'6.Détails activités passés'!W16))</f>
        <v>0</v>
      </c>
      <c r="O79" s="1211"/>
      <c r="P79" s="1211"/>
      <c r="Q79" s="1208">
        <f t="shared" si="23"/>
        <v>0</v>
      </c>
      <c r="R79" s="1212"/>
      <c r="S79" s="1211"/>
      <c r="T79" s="1208">
        <f t="shared" si="21"/>
        <v>0</v>
      </c>
      <c r="AL79" s="1231"/>
    </row>
    <row r="80" spans="1:38" ht="16.5" customHeight="1" x14ac:dyDescent="0.25">
      <c r="B80" s="2225"/>
      <c r="C80" s="431" t="s">
        <v>322</v>
      </c>
      <c r="D80" s="986"/>
      <c r="E80" s="1277"/>
      <c r="F80" s="1272" t="str">
        <f t="shared" si="26"/>
        <v/>
      </c>
      <c r="G80" s="1278">
        <f t="shared" si="14"/>
        <v>0</v>
      </c>
      <c r="H80" s="1279">
        <f t="shared" si="15"/>
        <v>0</v>
      </c>
      <c r="I80" s="1275" t="str">
        <f t="shared" si="16"/>
        <v/>
      </c>
      <c r="J80" s="1278">
        <f t="shared" si="17"/>
        <v>0</v>
      </c>
      <c r="K80" s="1279">
        <f t="shared" si="18"/>
        <v>0</v>
      </c>
      <c r="L80" s="1272" t="str">
        <f t="shared" si="19"/>
        <v/>
      </c>
      <c r="M80" s="1270"/>
      <c r="N80" s="1208">
        <f>IF(('6.Détails activités passés'!W17=""),(D80*E80)%,(((D80*E80)-'6.Détails activités passés'!W17)/'6.Détails activités passés'!W17))</f>
        <v>0</v>
      </c>
      <c r="O80" s="1211"/>
      <c r="P80" s="1211"/>
      <c r="Q80" s="1208">
        <f t="shared" si="23"/>
        <v>0</v>
      </c>
      <c r="R80" s="1212"/>
      <c r="S80" s="1211"/>
      <c r="T80" s="1208">
        <f t="shared" si="21"/>
        <v>0</v>
      </c>
      <c r="AL80" s="1231"/>
    </row>
    <row r="81" spans="2:39" ht="16.5" customHeight="1" x14ac:dyDescent="0.25">
      <c r="B81" s="2225"/>
      <c r="C81" s="431" t="s">
        <v>323</v>
      </c>
      <c r="D81" s="986"/>
      <c r="E81" s="1277"/>
      <c r="F81" s="1272" t="str">
        <f t="shared" si="26"/>
        <v/>
      </c>
      <c r="G81" s="1278">
        <f t="shared" si="14"/>
        <v>0</v>
      </c>
      <c r="H81" s="1279">
        <f t="shared" si="15"/>
        <v>0</v>
      </c>
      <c r="I81" s="1275" t="str">
        <f t="shared" si="16"/>
        <v/>
      </c>
      <c r="J81" s="1278">
        <f t="shared" si="17"/>
        <v>0</v>
      </c>
      <c r="K81" s="1279">
        <f t="shared" si="18"/>
        <v>0</v>
      </c>
      <c r="L81" s="1272" t="str">
        <f t="shared" si="19"/>
        <v/>
      </c>
      <c r="M81" s="1270"/>
      <c r="N81" s="1208">
        <f>IF(('6.Détails activités passés'!W18=""),(D81*E81)%,(((D81*E81)-'6.Détails activités passés'!W18)/'6.Détails activités passés'!W18))</f>
        <v>0</v>
      </c>
      <c r="O81" s="1211"/>
      <c r="P81" s="1211"/>
      <c r="Q81" s="1208">
        <f t="shared" si="23"/>
        <v>0</v>
      </c>
      <c r="R81" s="1212"/>
      <c r="S81" s="1211"/>
      <c r="T81" s="1208">
        <f t="shared" si="21"/>
        <v>0</v>
      </c>
    </row>
    <row r="82" spans="2:39" ht="16.5" customHeight="1" x14ac:dyDescent="0.25">
      <c r="B82" s="2225"/>
      <c r="C82" s="431" t="s">
        <v>471</v>
      </c>
      <c r="D82" s="986"/>
      <c r="E82" s="1277"/>
      <c r="F82" s="1272" t="str">
        <f t="shared" si="26"/>
        <v/>
      </c>
      <c r="G82" s="1278">
        <f t="shared" si="14"/>
        <v>0</v>
      </c>
      <c r="H82" s="1279">
        <f t="shared" si="15"/>
        <v>0</v>
      </c>
      <c r="I82" s="1275" t="str">
        <f t="shared" si="16"/>
        <v/>
      </c>
      <c r="J82" s="1278">
        <f t="shared" si="17"/>
        <v>0</v>
      </c>
      <c r="K82" s="1279">
        <f t="shared" si="18"/>
        <v>0</v>
      </c>
      <c r="L82" s="1272" t="str">
        <f t="shared" si="19"/>
        <v/>
      </c>
      <c r="M82" s="1270"/>
      <c r="N82" s="1208">
        <f>IF(('6.Détails activités passés'!W19=""),(D82*E82)%,(((D82*E82)-'6.Détails activités passés'!W19)/'6.Détails activités passés'!W19))</f>
        <v>0</v>
      </c>
      <c r="O82" s="1211"/>
      <c r="P82" s="1211"/>
      <c r="Q82" s="1208">
        <f t="shared" si="23"/>
        <v>0</v>
      </c>
      <c r="R82" s="1212"/>
      <c r="S82" s="1211"/>
      <c r="T82" s="1208">
        <f t="shared" si="21"/>
        <v>0</v>
      </c>
    </row>
    <row r="83" spans="2:39" ht="16.5" customHeight="1" x14ac:dyDescent="0.25">
      <c r="B83" s="2225"/>
      <c r="C83" s="431" t="s">
        <v>326</v>
      </c>
      <c r="D83" s="986"/>
      <c r="E83" s="1277"/>
      <c r="F83" s="1272" t="str">
        <f t="shared" si="26"/>
        <v/>
      </c>
      <c r="G83" s="1278">
        <f t="shared" si="14"/>
        <v>0</v>
      </c>
      <c r="H83" s="1279">
        <f t="shared" si="15"/>
        <v>0</v>
      </c>
      <c r="I83" s="1275" t="str">
        <f t="shared" si="16"/>
        <v/>
      </c>
      <c r="J83" s="1278">
        <f t="shared" si="17"/>
        <v>0</v>
      </c>
      <c r="K83" s="1279">
        <f t="shared" si="18"/>
        <v>0</v>
      </c>
      <c r="L83" s="1272" t="str">
        <f t="shared" si="19"/>
        <v/>
      </c>
      <c r="M83" s="1270"/>
      <c r="N83" s="1208">
        <f>IF(('6.Détails activités passés'!W20=""),(D83*E83)%,(((D83*E83)-'6.Détails activités passés'!W20)/'6.Détails activités passés'!W20))</f>
        <v>0</v>
      </c>
      <c r="O83" s="1211"/>
      <c r="P83" s="1211"/>
      <c r="Q83" s="1208">
        <f t="shared" si="23"/>
        <v>0</v>
      </c>
      <c r="R83" s="1212"/>
      <c r="S83" s="1211"/>
      <c r="T83" s="1208">
        <f t="shared" si="21"/>
        <v>0</v>
      </c>
    </row>
    <row r="84" spans="2:39" ht="16.5" customHeight="1" x14ac:dyDescent="0.25">
      <c r="B84" s="2225"/>
      <c r="C84" s="431" t="s">
        <v>324</v>
      </c>
      <c r="D84" s="986"/>
      <c r="E84" s="1277"/>
      <c r="F84" s="1272" t="str">
        <f t="shared" si="26"/>
        <v/>
      </c>
      <c r="G84" s="1278">
        <f t="shared" si="14"/>
        <v>0</v>
      </c>
      <c r="H84" s="1279">
        <f t="shared" si="15"/>
        <v>0</v>
      </c>
      <c r="I84" s="1275" t="str">
        <f t="shared" si="16"/>
        <v/>
      </c>
      <c r="J84" s="1278">
        <f t="shared" si="17"/>
        <v>0</v>
      </c>
      <c r="K84" s="1279">
        <f t="shared" si="18"/>
        <v>0</v>
      </c>
      <c r="L84" s="1272" t="str">
        <f t="shared" si="19"/>
        <v/>
      </c>
      <c r="M84" s="1270"/>
      <c r="N84" s="1208">
        <f>IF(('6.Détails activités passés'!W21=""),(D84*E84)%,(((D84*E84)-'6.Détails activités passés'!W21)/'6.Détails activités passés'!W21))</f>
        <v>0</v>
      </c>
      <c r="O84" s="1211"/>
      <c r="P84" s="1211"/>
      <c r="Q84" s="1208">
        <f t="shared" si="23"/>
        <v>0</v>
      </c>
      <c r="R84" s="1212"/>
      <c r="S84" s="1211"/>
      <c r="T84" s="1208">
        <f t="shared" si="21"/>
        <v>0</v>
      </c>
    </row>
    <row r="85" spans="2:39" ht="16.5" customHeight="1" x14ac:dyDescent="0.25">
      <c r="B85" s="2225"/>
      <c r="C85" s="431" t="s">
        <v>325</v>
      </c>
      <c r="D85" s="986"/>
      <c r="E85" s="1277"/>
      <c r="F85" s="1272" t="str">
        <f t="shared" si="26"/>
        <v/>
      </c>
      <c r="G85" s="1278">
        <f t="shared" si="14"/>
        <v>0</v>
      </c>
      <c r="H85" s="1279">
        <f t="shared" si="15"/>
        <v>0</v>
      </c>
      <c r="I85" s="1275" t="str">
        <f t="shared" si="16"/>
        <v/>
      </c>
      <c r="J85" s="1278">
        <f t="shared" si="17"/>
        <v>0</v>
      </c>
      <c r="K85" s="1279">
        <f t="shared" si="18"/>
        <v>0</v>
      </c>
      <c r="L85" s="1272" t="str">
        <f t="shared" si="19"/>
        <v/>
      </c>
      <c r="M85" s="1270"/>
      <c r="N85" s="1208">
        <f>IF(('6.Détails activités passés'!W22=""),(D85*E85)%,(((D85*E85)-'6.Détails activités passés'!W22)/'6.Détails activités passés'!W22))</f>
        <v>0</v>
      </c>
      <c r="O85" s="1211"/>
      <c r="P85" s="1211"/>
      <c r="Q85" s="1208">
        <f t="shared" si="23"/>
        <v>0</v>
      </c>
      <c r="R85" s="1212"/>
      <c r="S85" s="1211"/>
      <c r="T85" s="1208">
        <f t="shared" si="21"/>
        <v>0</v>
      </c>
    </row>
    <row r="86" spans="2:39" ht="16.5" customHeight="1" x14ac:dyDescent="0.25">
      <c r="B86" s="2225"/>
      <c r="C86" s="431" t="s">
        <v>71</v>
      </c>
      <c r="D86" s="986"/>
      <c r="E86" s="1277"/>
      <c r="F86" s="1272"/>
      <c r="G86" s="1278">
        <f>D87*(O87+1)</f>
        <v>0</v>
      </c>
      <c r="H86" s="1279">
        <f>E87*(P87+1)</f>
        <v>0</v>
      </c>
      <c r="I86" s="1275" t="str">
        <f t="shared" si="16"/>
        <v/>
      </c>
      <c r="J86" s="1278">
        <f>G86*(R87+1)</f>
        <v>0</v>
      </c>
      <c r="K86" s="1279">
        <f>H86*(S87+1)</f>
        <v>0</v>
      </c>
      <c r="L86" s="1272"/>
      <c r="M86" s="1270"/>
      <c r="N86" s="1208">
        <f>IF(('6.Détails activités passés'!W24=""),(D86*E86)%,(((D86*E86)-'6.Détails activités passés'!W23)/'6.Détails activités passés'!W23))</f>
        <v>0</v>
      </c>
      <c r="O86" s="1211"/>
      <c r="P86" s="1211"/>
      <c r="Q86" s="1208">
        <f t="shared" si="23"/>
        <v>0</v>
      </c>
      <c r="R86" s="1212"/>
      <c r="S86" s="1211"/>
      <c r="T86" s="1208">
        <f t="shared" si="21"/>
        <v>0</v>
      </c>
    </row>
    <row r="87" spans="2:39" ht="16.5" customHeight="1" x14ac:dyDescent="0.25">
      <c r="B87" s="2225"/>
      <c r="C87" s="1338" t="s">
        <v>90</v>
      </c>
      <c r="D87" s="1299"/>
      <c r="E87" s="1300"/>
      <c r="F87" s="1282"/>
      <c r="G87" s="1299"/>
      <c r="H87" s="1300"/>
      <c r="I87" s="1268" t="str">
        <f>IF((F87*(Q87+1)=0),"0",F87*(Q87+1))</f>
        <v>0</v>
      </c>
      <c r="J87" s="1299"/>
      <c r="K87" s="1300"/>
      <c r="L87" s="1308">
        <f>I87*(1+T87)</f>
        <v>0</v>
      </c>
      <c r="M87" s="1270"/>
      <c r="N87" s="1208">
        <f>IF(('6.Détails activités passés'!W25=""),(D87*E87)%,(((D87*E87)-'6.Détails activités passés'!W24)/'6.Détails activités passés'!W24))</f>
        <v>0</v>
      </c>
      <c r="O87" s="1280"/>
      <c r="P87" s="1281"/>
      <c r="Q87" s="1219"/>
      <c r="R87" s="1280"/>
      <c r="S87" s="1281"/>
      <c r="T87" s="1349"/>
      <c r="U87" s="371"/>
    </row>
    <row r="88" spans="2:39" ht="16.5" customHeight="1" x14ac:dyDescent="0.25">
      <c r="B88" s="2226"/>
      <c r="C88" s="1466" t="s">
        <v>78</v>
      </c>
      <c r="D88" s="1467"/>
      <c r="E88" s="1468">
        <f>SUM(E78:E87)</f>
        <v>0</v>
      </c>
      <c r="F88" s="1469">
        <f>SUM(F78:F87)</f>
        <v>0</v>
      </c>
      <c r="G88" s="1470"/>
      <c r="H88" s="1468">
        <f>SUM(H78:H86)</f>
        <v>0</v>
      </c>
      <c r="I88" s="1471">
        <f>SUM(I78:I87)</f>
        <v>0</v>
      </c>
      <c r="J88" s="1472"/>
      <c r="K88" s="1468">
        <f>SUM(K78:K86)</f>
        <v>0</v>
      </c>
      <c r="L88" s="1473">
        <f>SUM(L78:L87)</f>
        <v>0</v>
      </c>
      <c r="M88" s="1270"/>
      <c r="N88" s="1474" t="e">
        <f>IF(('6.Détails activités passés'!E14=""),F88%,((F88-'6.Détails activités passés'!E14)/'6.Détails activités passés'!E14))</f>
        <v>#DIV/0!</v>
      </c>
      <c r="O88" s="1475"/>
      <c r="P88" s="1476">
        <f>IF((E88=0),H88%,((H88-E88)/E88))</f>
        <v>0</v>
      </c>
      <c r="Q88" s="1477">
        <f>IF((F88=0),I88%,((I88-F88)/F88))</f>
        <v>0</v>
      </c>
      <c r="R88" s="1478"/>
      <c r="S88" s="1479">
        <f>IF((H88=0),K88%,((K88-H88)/H88))</f>
        <v>0</v>
      </c>
      <c r="T88" s="1480">
        <f>IF((I88=0),L88%,((L88-I88)/I88))</f>
        <v>0</v>
      </c>
    </row>
    <row r="89" spans="2:39" ht="16.5" customHeight="1" x14ac:dyDescent="0.25">
      <c r="B89" s="427"/>
      <c r="C89" s="1339" t="s">
        <v>78</v>
      </c>
      <c r="D89" s="1309"/>
      <c r="E89" s="1310">
        <f>E54+E61+E66+E71+E88</f>
        <v>0</v>
      </c>
      <c r="F89" s="1311">
        <f>F54+F61+F66+F71+F74+F77+F88</f>
        <v>0</v>
      </c>
      <c r="G89" s="1312"/>
      <c r="H89" s="1310">
        <f>H54+H61+H66+H71+H88</f>
        <v>0</v>
      </c>
      <c r="I89" s="1313">
        <f>I54+I61+I66+I71+I74+I77+I88</f>
        <v>0</v>
      </c>
      <c r="J89" s="1314"/>
      <c r="K89" s="1315">
        <f>K54+K61+K66+K71+K88</f>
        <v>0</v>
      </c>
      <c r="L89" s="1316">
        <f>L54+L61+L66+L71+L74+L77+L88</f>
        <v>0</v>
      </c>
      <c r="M89" s="117"/>
      <c r="N89" s="1225">
        <f>IF((('B.3.Comptes passés &amp; en cours'!K24+'B.3.Comptes passés &amp; en cours'!K25)=0),F89%,((F89-('B.3.Comptes passés &amp; en cours'!K24+'B.3.Comptes passés &amp; en cours'!K25))/('B.3.Comptes passés &amp; en cours'!K24+'B.3.Comptes passés &amp; en cours'!K25)))</f>
        <v>0</v>
      </c>
      <c r="O89" s="980"/>
      <c r="P89" s="1225">
        <f>IF((E89=0),H89%,((H89-E89)/E89))</f>
        <v>0</v>
      </c>
      <c r="Q89" s="1225">
        <f>IF((F89=0),I89%,((I89-F89)/F89))</f>
        <v>0</v>
      </c>
      <c r="R89" s="1226"/>
      <c r="S89" s="1227">
        <f>IF((H89=0),K89%,((K89-H89)/H89))</f>
        <v>0</v>
      </c>
      <c r="T89" s="1228">
        <f>IF((I89=0),L89%,((L89-I89)/I89))</f>
        <v>0</v>
      </c>
    </row>
    <row r="90" spans="2:39" x14ac:dyDescent="0.25">
      <c r="C90" s="101"/>
      <c r="D90" s="101"/>
      <c r="E90" s="101"/>
      <c r="F90" s="101"/>
      <c r="G90" s="101"/>
      <c r="H90" s="101"/>
      <c r="I90" s="101"/>
      <c r="J90" s="101"/>
      <c r="K90" s="101"/>
      <c r="L90" s="101"/>
      <c r="M90" s="368"/>
      <c r="N90" s="101"/>
      <c r="O90" s="101"/>
      <c r="P90" s="101"/>
      <c r="Q90" s="389"/>
      <c r="R90" s="389"/>
      <c r="S90" s="389"/>
      <c r="T90" s="389"/>
      <c r="U90" s="389"/>
      <c r="V90" s="389"/>
      <c r="W90" s="389"/>
      <c r="X90" s="389"/>
      <c r="Y90" s="389"/>
      <c r="Z90" s="389"/>
      <c r="AA90" s="389"/>
      <c r="AB90" s="389"/>
      <c r="AC90" s="101"/>
      <c r="AD90" s="101"/>
      <c r="AE90" s="101"/>
      <c r="AF90" s="101"/>
      <c r="AG90" s="1230"/>
      <c r="AM90" s="192"/>
    </row>
    <row r="91" spans="2:39" x14ac:dyDescent="0.25">
      <c r="Q91" s="16"/>
      <c r="R91" s="16"/>
      <c r="S91" s="16"/>
      <c r="T91" s="16"/>
      <c r="U91" s="16"/>
      <c r="V91" s="16"/>
      <c r="W91" s="16"/>
      <c r="X91" s="16"/>
      <c r="Y91" s="16"/>
      <c r="Z91" s="16"/>
      <c r="AA91" s="16"/>
      <c r="AB91" s="16"/>
    </row>
    <row r="92" spans="2:39" x14ac:dyDescent="0.25">
      <c r="Q92" s="16"/>
      <c r="R92" s="16"/>
      <c r="S92" s="16"/>
      <c r="T92" s="16"/>
      <c r="U92" s="16"/>
      <c r="V92" s="16"/>
      <c r="W92" s="16"/>
      <c r="X92" s="16"/>
      <c r="Y92" s="16"/>
      <c r="Z92" s="16"/>
      <c r="AA92" s="16"/>
      <c r="AB92" s="16"/>
    </row>
    <row r="93" spans="2:39" x14ac:dyDescent="0.25">
      <c r="Q93" s="16"/>
      <c r="R93" s="16"/>
      <c r="S93" s="16"/>
      <c r="T93" s="16"/>
      <c r="U93" s="16"/>
      <c r="V93" s="16"/>
      <c r="W93" s="16"/>
      <c r="X93" s="16"/>
      <c r="Y93" s="16"/>
      <c r="Z93" s="16"/>
      <c r="AA93" s="16"/>
      <c r="AB93" s="16"/>
    </row>
  </sheetData>
  <sheetProtection password="CC57" sheet="1" objects="1" scenarios="1"/>
  <protectedRanges>
    <protectedRange sqref="Y9:AA9 Y16:AA16 Y18:AA18 Y20:AA20 Y24:AA24 Y29:AA30 Y33:AA34 F75:F76 I75:I76 L75:L76 Q75:Q76 T75:T76" name="CSI"/>
    <protectedRange sqref="U9:W9 U16:W16 U18:W18 U20:W20 U24:W24 U29:W30 U33:W34 F72:F73 I72:I73 L72:L73 Q72:Q73 T72:T73" name="SSIAD"/>
    <protectedRange sqref="E9:G9 E12:G12 E16:G16 E18:G18 E20:G20 E24:G24 E29:G30 E33:G34 D48:E52 F53 G48:H52 I53 J48:K52 L53 O48:P52 Q53 R48:S52 T53" name="PA PH"/>
    <protectedRange sqref="I9:K9 I12:K12 I16:K16 I18:K18 I20:K20 I24:K24 I29:K30 I33:K34 D55:E59 F60 G55:H59 I60 J55:K59 L60 O55:P59 Q60 R55:S59 T60" name="Familles"/>
    <protectedRange sqref="AE26 M9:O9 M12:O12 M16:O16 M18:O18 M20:O20 M24:O24 M29:O30 M33:O34 D62:E64 F65 G62:H64 I65 J62:K64 L65 O62:P64 Q65 R62:S64 T65" name="Mandataire"/>
    <protectedRange sqref="Q9:S9 Q12:S12 Q16:S16 Q18:S18 Q20:S20 Q24:S24 Q29:S30 Q33:S35 D67:E69 F70 G67:H69 I70 J67:K69 L70 O67:P69 Q70 R67:S69 T70" name="Confort"/>
    <protectedRange sqref="AC9:AE9 AC12:AE12 AC16:AE16 AC18:AE18 AC20:AE20 AC24:AE24 AC29:AE30 AC33:AE34 D78:E86 G78:H86 J78:K86 F87 I87 L87 O78:P86 Q87 R78:S85 S85 R78:S86 R78:R85 S78:S86 S85:S86 T87" name="Autre"/>
  </protectedRanges>
  <mergeCells count="57">
    <mergeCell ref="B75:B77"/>
    <mergeCell ref="B78:B88"/>
    <mergeCell ref="B14:C14"/>
    <mergeCell ref="B55:B61"/>
    <mergeCell ref="B62:B66"/>
    <mergeCell ref="B67:B71"/>
    <mergeCell ref="B72:B74"/>
    <mergeCell ref="B48:B54"/>
    <mergeCell ref="B29:C29"/>
    <mergeCell ref="B31:C31"/>
    <mergeCell ref="B32:C32"/>
    <mergeCell ref="B22:C22"/>
    <mergeCell ref="B23:C23"/>
    <mergeCell ref="B24:C24"/>
    <mergeCell ref="B25:C25"/>
    <mergeCell ref="B26:C26"/>
    <mergeCell ref="B44:C47"/>
    <mergeCell ref="B2:AE2"/>
    <mergeCell ref="P4:S4"/>
    <mergeCell ref="T4:W4"/>
    <mergeCell ref="D4:G4"/>
    <mergeCell ref="H4:K4"/>
    <mergeCell ref="L4:O4"/>
    <mergeCell ref="B4:C6"/>
    <mergeCell ref="AB4:AE4"/>
    <mergeCell ref="X4:AA4"/>
    <mergeCell ref="B11:C11"/>
    <mergeCell ref="B12:C12"/>
    <mergeCell ref="B30:C30"/>
    <mergeCell ref="B34:C34"/>
    <mergeCell ref="B27:C27"/>
    <mergeCell ref="B28:C28"/>
    <mergeCell ref="AG4:AL5"/>
    <mergeCell ref="AG6:AH6"/>
    <mergeCell ref="AI6:AJ6"/>
    <mergeCell ref="AK6:AL6"/>
    <mergeCell ref="B9:C9"/>
    <mergeCell ref="B8:C8"/>
    <mergeCell ref="B20:C20"/>
    <mergeCell ref="B21:C21"/>
    <mergeCell ref="B15:C15"/>
    <mergeCell ref="B16:C16"/>
    <mergeCell ref="B17:C17"/>
    <mergeCell ref="B18:C18"/>
    <mergeCell ref="B19:C19"/>
    <mergeCell ref="N44:T45"/>
    <mergeCell ref="O46:Q46"/>
    <mergeCell ref="R46:T46"/>
    <mergeCell ref="D44:F46"/>
    <mergeCell ref="J44:L46"/>
    <mergeCell ref="G44:I46"/>
    <mergeCell ref="B37:C37"/>
    <mergeCell ref="B39:C39"/>
    <mergeCell ref="B33:C33"/>
    <mergeCell ref="B35:C35"/>
    <mergeCell ref="B42:T42"/>
    <mergeCell ref="B36:C36"/>
  </mergeCells>
  <pageMargins left="0.70866141732283472" right="0.70866141732283472" top="0.74803149606299213" bottom="0.74803149606299213" header="0.31496062992125984" footer="0.31496062992125984"/>
  <pageSetup paperSize="9" scale="34" orientation="landscape" r:id="rId1"/>
  <headerFooter>
    <oddHeader>&amp;R&amp;G</oddHeader>
  </headerFooter>
  <rowBreaks count="1" manualBreakCount="1">
    <brk id="40" max="30" man="1"/>
  </rowBreaks>
  <colBreaks count="1" manualBreakCount="1">
    <brk id="1" max="80" man="1"/>
  </colBreaks>
  <ignoredErrors>
    <ignoredError sqref="L6 P6 T6 AB6 F74" 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pageSetUpPr fitToPage="1"/>
  </sheetPr>
  <dimension ref="A1:L36"/>
  <sheetViews>
    <sheetView showGridLines="0" zoomScale="80" zoomScaleNormal="80" workbookViewId="0">
      <selection activeCell="H18" sqref="H18"/>
    </sheetView>
  </sheetViews>
  <sheetFormatPr baseColWidth="10" defaultRowHeight="12.75" x14ac:dyDescent="0.25"/>
  <cols>
    <col min="1" max="1" width="4.42578125" style="514" customWidth="1"/>
    <col min="2" max="2" width="34.85546875" style="514" customWidth="1"/>
    <col min="3" max="11" width="12.5703125" style="514" customWidth="1"/>
    <col min="12" max="16384" width="11.42578125" style="514"/>
  </cols>
  <sheetData>
    <row r="1" spans="1:12" ht="26.25" customHeight="1" thickBot="1" x14ac:dyDescent="0.3">
      <c r="A1" s="513"/>
      <c r="B1" s="2245" t="s">
        <v>353</v>
      </c>
      <c r="C1" s="2246"/>
      <c r="D1" s="2246"/>
      <c r="E1" s="2246"/>
      <c r="F1" s="2246"/>
      <c r="G1" s="2246"/>
      <c r="H1" s="2246"/>
      <c r="I1" s="2246"/>
      <c r="J1" s="2246"/>
      <c r="K1" s="2247"/>
    </row>
    <row r="2" spans="1:12" ht="13.5" thickTop="1" x14ac:dyDescent="0.25"/>
    <row r="4" spans="1:12" ht="18.75" customHeight="1" x14ac:dyDescent="0.25">
      <c r="B4" s="39"/>
      <c r="C4" s="2242" t="s">
        <v>456</v>
      </c>
      <c r="D4" s="2243"/>
      <c r="E4" s="2244"/>
      <c r="F4" s="2242" t="s">
        <v>333</v>
      </c>
      <c r="G4" s="2243"/>
      <c r="H4" s="2244"/>
      <c r="I4" s="2242" t="s">
        <v>334</v>
      </c>
      <c r="J4" s="2243"/>
      <c r="K4" s="2244"/>
    </row>
    <row r="5" spans="1:12" ht="36" x14ac:dyDescent="0.25">
      <c r="B5" s="39"/>
      <c r="C5" s="543">
        <f>'B.3.Comptes passés &amp; en cours'!K22+1</f>
        <v>2017</v>
      </c>
      <c r="D5" s="544">
        <f>C5+1</f>
        <v>2018</v>
      </c>
      <c r="E5" s="545">
        <f>D5+1</f>
        <v>2019</v>
      </c>
      <c r="F5" s="511" t="s">
        <v>354</v>
      </c>
      <c r="G5" s="1036" t="s">
        <v>438</v>
      </c>
      <c r="H5" s="512" t="s">
        <v>335</v>
      </c>
      <c r="I5" s="543">
        <f>C5</f>
        <v>2017</v>
      </c>
      <c r="J5" s="544">
        <f>I5+1</f>
        <v>2018</v>
      </c>
      <c r="K5" s="545">
        <f>J5+1</f>
        <v>2019</v>
      </c>
      <c r="L5" s="515"/>
    </row>
    <row r="6" spans="1:12" ht="18.75" customHeight="1" x14ac:dyDescent="0.25">
      <c r="B6" s="546" t="s">
        <v>336</v>
      </c>
      <c r="C6" s="516"/>
      <c r="D6" s="516"/>
      <c r="E6" s="517"/>
      <c r="F6" s="518"/>
      <c r="G6" s="518"/>
      <c r="H6" s="517"/>
      <c r="I6" s="554" t="str">
        <f>"01/01/"&amp;I5+1</f>
        <v>01/01/2018</v>
      </c>
      <c r="J6" s="554" t="str">
        <f t="shared" ref="J6:K6" si="0">"01/01/"&amp;J5+1</f>
        <v>01/01/2019</v>
      </c>
      <c r="K6" s="555" t="str">
        <f t="shared" si="0"/>
        <v>01/01/2020</v>
      </c>
    </row>
    <row r="7" spans="1:12" ht="15.75" customHeight="1" x14ac:dyDescent="0.25">
      <c r="B7" s="541" t="s">
        <v>337</v>
      </c>
      <c r="C7" s="534"/>
      <c r="D7" s="535"/>
      <c r="E7" s="536"/>
      <c r="F7" s="519" t="str">
        <f>IF(SUM(C7:E7)=0,"",SUM(C7:E7))</f>
        <v/>
      </c>
      <c r="G7" s="537"/>
      <c r="H7" s="536"/>
      <c r="I7" s="520" t="str">
        <f>IF($I$5&lt;(YEAR(G7)),0, IF((YEAR(G7)=$I$5),F7/H7*(($I$6-G7)/366),""))</f>
        <v/>
      </c>
      <c r="J7" s="521" t="str">
        <f>IF(F7="","",IF(YEAR(G7)&gt;$J$5,0,IF((YEAR(G7)=$J$5),F7/H7*(($J$6-G7)/365),IF(F7/H7&gt;F7-I7,F7-I7,F7/H7))))</f>
        <v/>
      </c>
      <c r="K7" s="522" t="str">
        <f>IF(F7="","",IF(YEAR(G7)&gt;$K$5,0,IF((YEAR(G7)=$K$5),F7/H7*(($K$6-G7)/365),IF(F7/H7&gt;F7-I7-J7,F7-I7-J7,F7/H7))))</f>
        <v/>
      </c>
    </row>
    <row r="8" spans="1:12" ht="15.75" customHeight="1" x14ac:dyDescent="0.25">
      <c r="B8" s="541" t="s">
        <v>338</v>
      </c>
      <c r="C8" s="534"/>
      <c r="D8" s="535"/>
      <c r="E8" s="536"/>
      <c r="F8" s="519" t="str">
        <f t="shared" ref="F8:F11" si="1">IF(SUM(C8:E8)=0,"",SUM(C8:E8))</f>
        <v/>
      </c>
      <c r="G8" s="537"/>
      <c r="H8" s="536"/>
      <c r="I8" s="520" t="str">
        <f>IF($I$5&lt;(YEAR(G8)),0, IF((YEAR(G8)=$I$5),F8/H8*(($I$6-G8)/365),""))</f>
        <v/>
      </c>
      <c r="J8" s="521" t="str">
        <f>IF(F8="","",IF(YEAR(G8)&gt;$J$5,0,IF((YEAR(G8)=$J$5),F8/H8*(($J$6-G8)/365),IF(F8/H8&gt;F8-I8,F8-I8,F8/H8))))</f>
        <v/>
      </c>
      <c r="K8" s="522" t="str">
        <f>IF(F8="","",IF(YEAR(G8)&gt;$K$5,0,IF((YEAR(G8)=$K$5),F8/H8*(($K$6-G8)/365),IF(F8/H8&gt;F8-I8-J8,F8-I8-J8,F8/H8))))</f>
        <v/>
      </c>
      <c r="L8" s="648"/>
    </row>
    <row r="9" spans="1:12" ht="15.75" customHeight="1" x14ac:dyDescent="0.25">
      <c r="B9" s="541" t="s">
        <v>339</v>
      </c>
      <c r="C9" s="534"/>
      <c r="D9" s="535"/>
      <c r="E9" s="536"/>
      <c r="F9" s="519" t="str">
        <f t="shared" si="1"/>
        <v/>
      </c>
      <c r="G9" s="537"/>
      <c r="H9" s="536"/>
      <c r="I9" s="520" t="str">
        <f>IF($I$5&lt;(YEAR(G9)),0, IF((YEAR(G9)=$I$5),F9/H9*(($I$6-G9)/366),""))</f>
        <v/>
      </c>
      <c r="J9" s="521" t="str">
        <f>IF(F9="","",IF(YEAR(G9)&gt;$J$5,0,IF((YEAR(G9)=$J$5),F9/H9*(($J$6-G9)/365),IF(F9/H9&gt;F9-I9,F9-I9,F9/H9))))</f>
        <v/>
      </c>
      <c r="K9" s="522" t="str">
        <f>IF(F9="","",IF(YEAR(G9)&gt;$K$5,0,IF((YEAR(G9)=$K$5),F9/H9*(($K$6-G9)/365),IF(F9/H9&gt;F9-I9-J9,F9-I9-J9,F9/H9))))</f>
        <v/>
      </c>
      <c r="L9" s="648"/>
    </row>
    <row r="10" spans="1:12" ht="15.75" customHeight="1" x14ac:dyDescent="0.25">
      <c r="B10" s="541" t="s">
        <v>339</v>
      </c>
      <c r="C10" s="534"/>
      <c r="D10" s="535"/>
      <c r="E10" s="536"/>
      <c r="F10" s="519" t="str">
        <f t="shared" si="1"/>
        <v/>
      </c>
      <c r="G10" s="537"/>
      <c r="H10" s="536"/>
      <c r="I10" s="520" t="str">
        <f>IF($I$5&lt;(YEAR(G10)),0,IF((YEAR(G10)=$I$5),F10/H10*(($I$6-G10)/366),""))</f>
        <v/>
      </c>
      <c r="J10" s="521" t="str">
        <f>IF(F10="","",IF(YEAR(G10)&gt;$J$5,0,IF((YEAR(G10)=$J$5),F10/H10*(($J$6-G10)/365),IF(F10/H10&gt;F10-I10,F10-I10,F10/H10))))</f>
        <v/>
      </c>
      <c r="K10" s="522" t="str">
        <f>IF(F10="","",IF(YEAR(G10)&gt;$K$5,0,IF((YEAR(G10)=$K$5),F10/H10*(($K$6-G10)/365),IF(F10/H10&gt;F10-I10-J10,F10-I10-J10,F10/H10))))</f>
        <v/>
      </c>
      <c r="L10" s="765"/>
    </row>
    <row r="11" spans="1:12" ht="15.75" customHeight="1" x14ac:dyDescent="0.25">
      <c r="B11" s="541" t="s">
        <v>339</v>
      </c>
      <c r="C11" s="534"/>
      <c r="D11" s="535"/>
      <c r="E11" s="536"/>
      <c r="F11" s="519" t="str">
        <f t="shared" si="1"/>
        <v/>
      </c>
      <c r="G11" s="537"/>
      <c r="H11" s="536"/>
      <c r="I11" s="520" t="str">
        <f>IF($I$5&lt;(YEAR(G11)),0, IF((YEAR(G11)=$I$5),F11/H11*(($I$6-G11)/366),""))</f>
        <v/>
      </c>
      <c r="J11" s="521" t="str">
        <f>IF(F11="","",IF(YEAR(G11)&gt;$J$5,0,IF((YEAR(G11)=$J$5),F11/H11*(($J$6-G11)/365),IF(F11/H11&gt;F11-I11,F11-I11,F11/H11))))</f>
        <v/>
      </c>
      <c r="K11" s="522" t="str">
        <f>IF(F11="","",IF(YEAR(G11)&gt;$K$5,0,IF((YEAR(G11)=$K$5),F11/H11*(($K$6-G11)/365),IF(F11/H11&gt;F11-I11-J11,F11-I11-J11,F11/H11))))</f>
        <v/>
      </c>
      <c r="L11" s="438"/>
    </row>
    <row r="12" spans="1:12" ht="18.75" customHeight="1" x14ac:dyDescent="0.25">
      <c r="B12" s="546" t="s">
        <v>340</v>
      </c>
      <c r="C12" s="516"/>
      <c r="D12" s="516"/>
      <c r="E12" s="523"/>
      <c r="F12" s="524"/>
      <c r="G12" s="525"/>
      <c r="H12" s="523"/>
      <c r="I12" s="523"/>
      <c r="J12" s="523"/>
      <c r="K12" s="526"/>
      <c r="L12" s="438"/>
    </row>
    <row r="13" spans="1:12" ht="15.75" customHeight="1" x14ac:dyDescent="0.25">
      <c r="B13" s="542" t="s">
        <v>341</v>
      </c>
      <c r="C13" s="538"/>
      <c r="D13" s="535"/>
      <c r="E13" s="536"/>
      <c r="F13" s="519" t="str">
        <f>IF(SUM(C13:E13)=0,"",SUM(C13:E13))</f>
        <v/>
      </c>
      <c r="G13" s="537"/>
      <c r="H13" s="536"/>
      <c r="I13" s="520" t="str">
        <f t="shared" ref="I13:I27" si="2">IF($I$5&lt;(YEAR(G13)),0, IF((YEAR(G13)=$I$5),F13/H13*(($I$6-G13)/366),""))</f>
        <v/>
      </c>
      <c r="J13" s="521" t="str">
        <f t="shared" ref="J13:J27" si="3">IF(F13="","",IF(YEAR(G13)&gt;$J$5,0,IF((YEAR(G13)=$J$5),F13/H13*(($J$6-G13)/365),IF(F13/H13&gt;F13-I13,F13-I13,F13/H13))))</f>
        <v/>
      </c>
      <c r="K13" s="522" t="str">
        <f t="shared" ref="K13:K26" si="4">IF(F13="","",IF(YEAR(G13)&gt;$K$5,0,IF((YEAR(G13)=$K$5),F13/H13*(($K$6-G13)/365),IF(F13/H13&gt;F13-I13-J13,F13-I13-J13,F13/H13))))</f>
        <v/>
      </c>
      <c r="L13" s="765"/>
    </row>
    <row r="14" spans="1:12" ht="15.75" customHeight="1" x14ac:dyDescent="0.25">
      <c r="B14" s="541" t="s">
        <v>342</v>
      </c>
      <c r="C14" s="534"/>
      <c r="D14" s="535"/>
      <c r="E14" s="536"/>
      <c r="F14" s="519" t="str">
        <f t="shared" ref="F14:F27" si="5">IF(SUM(C14:E14)=0,"",SUM(C14:E14))</f>
        <v/>
      </c>
      <c r="G14" s="537"/>
      <c r="H14" s="536"/>
      <c r="I14" s="520" t="str">
        <f t="shared" si="2"/>
        <v/>
      </c>
      <c r="J14" s="521" t="str">
        <f t="shared" si="3"/>
        <v/>
      </c>
      <c r="K14" s="522" t="str">
        <f t="shared" si="4"/>
        <v/>
      </c>
    </row>
    <row r="15" spans="1:12" ht="15.75" customHeight="1" x14ac:dyDescent="0.25">
      <c r="B15" s="541" t="s">
        <v>343</v>
      </c>
      <c r="C15" s="534"/>
      <c r="D15" s="535"/>
      <c r="E15" s="536"/>
      <c r="F15" s="519" t="str">
        <f t="shared" si="5"/>
        <v/>
      </c>
      <c r="G15" s="537"/>
      <c r="H15" s="536"/>
      <c r="I15" s="520" t="str">
        <f t="shared" si="2"/>
        <v/>
      </c>
      <c r="J15" s="521" t="str">
        <f t="shared" si="3"/>
        <v/>
      </c>
      <c r="K15" s="522" t="str">
        <f t="shared" si="4"/>
        <v/>
      </c>
    </row>
    <row r="16" spans="1:12" ht="15.75" customHeight="1" x14ac:dyDescent="0.25">
      <c r="B16" s="541" t="s">
        <v>344</v>
      </c>
      <c r="C16" s="534"/>
      <c r="D16" s="535"/>
      <c r="E16" s="536"/>
      <c r="F16" s="519" t="str">
        <f t="shared" si="5"/>
        <v/>
      </c>
      <c r="G16" s="537"/>
      <c r="H16" s="536"/>
      <c r="I16" s="520" t="str">
        <f t="shared" si="2"/>
        <v/>
      </c>
      <c r="J16" s="521" t="str">
        <f t="shared" si="3"/>
        <v/>
      </c>
      <c r="K16" s="522" t="str">
        <f t="shared" si="4"/>
        <v/>
      </c>
    </row>
    <row r="17" spans="2:11" ht="15.75" customHeight="1" x14ac:dyDescent="0.25">
      <c r="B17" s="541" t="s">
        <v>345</v>
      </c>
      <c r="C17" s="534"/>
      <c r="D17" s="535"/>
      <c r="E17" s="536"/>
      <c r="F17" s="519" t="str">
        <f t="shared" si="5"/>
        <v/>
      </c>
      <c r="G17" s="537"/>
      <c r="H17" s="536"/>
      <c r="I17" s="520" t="str">
        <f t="shared" si="2"/>
        <v/>
      </c>
      <c r="J17" s="521" t="str">
        <f t="shared" si="3"/>
        <v/>
      </c>
      <c r="K17" s="522" t="str">
        <f t="shared" si="4"/>
        <v/>
      </c>
    </row>
    <row r="18" spans="2:11" ht="15.75" customHeight="1" x14ac:dyDescent="0.25">
      <c r="B18" s="541" t="s">
        <v>339</v>
      </c>
      <c r="C18" s="534"/>
      <c r="D18" s="535"/>
      <c r="E18" s="536"/>
      <c r="F18" s="519" t="str">
        <f t="shared" si="5"/>
        <v/>
      </c>
      <c r="G18" s="537"/>
      <c r="H18" s="536"/>
      <c r="I18" s="520" t="str">
        <f t="shared" si="2"/>
        <v/>
      </c>
      <c r="J18" s="521" t="str">
        <f t="shared" si="3"/>
        <v/>
      </c>
      <c r="K18" s="522" t="str">
        <f t="shared" si="4"/>
        <v/>
      </c>
    </row>
    <row r="19" spans="2:11" ht="15.75" customHeight="1" x14ac:dyDescent="0.25">
      <c r="B19" s="541" t="s">
        <v>339</v>
      </c>
      <c r="C19" s="534"/>
      <c r="D19" s="535"/>
      <c r="E19" s="536"/>
      <c r="F19" s="519" t="str">
        <f t="shared" si="5"/>
        <v/>
      </c>
      <c r="G19" s="537"/>
      <c r="H19" s="536"/>
      <c r="I19" s="520" t="str">
        <f t="shared" si="2"/>
        <v/>
      </c>
      <c r="J19" s="521" t="str">
        <f t="shared" si="3"/>
        <v/>
      </c>
      <c r="K19" s="522" t="str">
        <f t="shared" si="4"/>
        <v/>
      </c>
    </row>
    <row r="20" spans="2:11" ht="15.75" customHeight="1" x14ac:dyDescent="0.25">
      <c r="B20" s="541" t="s">
        <v>339</v>
      </c>
      <c r="C20" s="534"/>
      <c r="D20" s="535"/>
      <c r="E20" s="536"/>
      <c r="F20" s="519" t="str">
        <f t="shared" si="5"/>
        <v/>
      </c>
      <c r="G20" s="537"/>
      <c r="H20" s="536"/>
      <c r="I20" s="520" t="str">
        <f t="shared" si="2"/>
        <v/>
      </c>
      <c r="J20" s="521" t="str">
        <f t="shared" si="3"/>
        <v/>
      </c>
      <c r="K20" s="522" t="str">
        <f t="shared" si="4"/>
        <v/>
      </c>
    </row>
    <row r="21" spans="2:11" ht="15.75" customHeight="1" x14ac:dyDescent="0.25">
      <c r="B21" s="541" t="s">
        <v>339</v>
      </c>
      <c r="C21" s="534"/>
      <c r="D21" s="535"/>
      <c r="E21" s="536"/>
      <c r="F21" s="519" t="str">
        <f t="shared" si="5"/>
        <v/>
      </c>
      <c r="G21" s="537"/>
      <c r="H21" s="536"/>
      <c r="I21" s="520" t="str">
        <f t="shared" si="2"/>
        <v/>
      </c>
      <c r="J21" s="521" t="str">
        <f t="shared" si="3"/>
        <v/>
      </c>
      <c r="K21" s="522" t="str">
        <f t="shared" si="4"/>
        <v/>
      </c>
    </row>
    <row r="22" spans="2:11" ht="15.75" customHeight="1" x14ac:dyDescent="0.25">
      <c r="B22" s="541" t="s">
        <v>339</v>
      </c>
      <c r="C22" s="534"/>
      <c r="D22" s="535"/>
      <c r="E22" s="536"/>
      <c r="F22" s="519" t="str">
        <f t="shared" si="5"/>
        <v/>
      </c>
      <c r="G22" s="537"/>
      <c r="H22" s="536"/>
      <c r="I22" s="520" t="str">
        <f t="shared" si="2"/>
        <v/>
      </c>
      <c r="J22" s="521" t="str">
        <f t="shared" si="3"/>
        <v/>
      </c>
      <c r="K22" s="522" t="str">
        <f t="shared" si="4"/>
        <v/>
      </c>
    </row>
    <row r="23" spans="2:11" ht="15.75" customHeight="1" x14ac:dyDescent="0.25">
      <c r="B23" s="541" t="s">
        <v>339</v>
      </c>
      <c r="C23" s="534"/>
      <c r="D23" s="535"/>
      <c r="E23" s="536"/>
      <c r="F23" s="519" t="str">
        <f t="shared" si="5"/>
        <v/>
      </c>
      <c r="G23" s="537"/>
      <c r="H23" s="536"/>
      <c r="I23" s="520" t="str">
        <f t="shared" si="2"/>
        <v/>
      </c>
      <c r="J23" s="521" t="str">
        <f t="shared" si="3"/>
        <v/>
      </c>
      <c r="K23" s="522" t="str">
        <f t="shared" si="4"/>
        <v/>
      </c>
    </row>
    <row r="24" spans="2:11" ht="15.75" customHeight="1" x14ac:dyDescent="0.25">
      <c r="B24" s="541" t="s">
        <v>339</v>
      </c>
      <c r="C24" s="534"/>
      <c r="D24" s="535"/>
      <c r="E24" s="536"/>
      <c r="F24" s="519" t="str">
        <f t="shared" si="5"/>
        <v/>
      </c>
      <c r="G24" s="537"/>
      <c r="H24" s="536"/>
      <c r="I24" s="520" t="str">
        <f t="shared" si="2"/>
        <v/>
      </c>
      <c r="J24" s="521" t="str">
        <f t="shared" si="3"/>
        <v/>
      </c>
      <c r="K24" s="522" t="str">
        <f t="shared" si="4"/>
        <v/>
      </c>
    </row>
    <row r="25" spans="2:11" ht="15.75" customHeight="1" x14ac:dyDescent="0.25">
      <c r="B25" s="541" t="s">
        <v>339</v>
      </c>
      <c r="C25" s="534"/>
      <c r="D25" s="535"/>
      <c r="E25" s="536"/>
      <c r="F25" s="519" t="str">
        <f t="shared" si="5"/>
        <v/>
      </c>
      <c r="G25" s="537"/>
      <c r="H25" s="536"/>
      <c r="I25" s="520" t="str">
        <f t="shared" si="2"/>
        <v/>
      </c>
      <c r="J25" s="521" t="str">
        <f t="shared" si="3"/>
        <v/>
      </c>
      <c r="K25" s="522" t="str">
        <f t="shared" si="4"/>
        <v/>
      </c>
    </row>
    <row r="26" spans="2:11" ht="15.75" customHeight="1" x14ac:dyDescent="0.25">
      <c r="B26" s="541" t="s">
        <v>339</v>
      </c>
      <c r="C26" s="534"/>
      <c r="D26" s="535"/>
      <c r="E26" s="536"/>
      <c r="F26" s="519" t="str">
        <f t="shared" si="5"/>
        <v/>
      </c>
      <c r="G26" s="537"/>
      <c r="H26" s="536"/>
      <c r="I26" s="520" t="str">
        <f t="shared" si="2"/>
        <v/>
      </c>
      <c r="J26" s="521" t="str">
        <f t="shared" si="3"/>
        <v/>
      </c>
      <c r="K26" s="522" t="str">
        <f t="shared" si="4"/>
        <v/>
      </c>
    </row>
    <row r="27" spans="2:11" ht="15.75" customHeight="1" x14ac:dyDescent="0.25">
      <c r="B27" s="541" t="s">
        <v>339</v>
      </c>
      <c r="C27" s="534"/>
      <c r="D27" s="535"/>
      <c r="E27" s="536"/>
      <c r="F27" s="519" t="str">
        <f t="shared" si="5"/>
        <v/>
      </c>
      <c r="G27" s="537"/>
      <c r="H27" s="536"/>
      <c r="I27" s="520" t="str">
        <f t="shared" si="2"/>
        <v/>
      </c>
      <c r="J27" s="521" t="str">
        <f t="shared" si="3"/>
        <v/>
      </c>
      <c r="K27" s="522" t="str">
        <f>IF(F27="","",IF(YEAR(G27)&gt;$K$7,0,IF((YEAR(G27)=$K$7),F27/H27*(($K$8-G27)/365),IF(F27/H27&gt;F27-I27-J27,F27-I27-J27,F27/H27))))</f>
        <v/>
      </c>
    </row>
    <row r="28" spans="2:11" ht="18.75" customHeight="1" x14ac:dyDescent="0.25">
      <c r="B28" s="546" t="s">
        <v>346</v>
      </c>
      <c r="C28" s="516"/>
      <c r="D28" s="516"/>
      <c r="E28" s="525"/>
      <c r="F28" s="524"/>
      <c r="G28" s="525"/>
      <c r="H28" s="525"/>
      <c r="I28" s="525"/>
      <c r="J28" s="525"/>
      <c r="K28" s="1800"/>
    </row>
    <row r="29" spans="2:11" ht="15.75" customHeight="1" x14ac:dyDescent="0.25">
      <c r="B29" s="542" t="s">
        <v>347</v>
      </c>
      <c r="C29" s="538"/>
      <c r="D29" s="539"/>
      <c r="E29" s="540"/>
      <c r="F29" s="519" t="str">
        <f>IF(SUM(C29:E29)=0,"",SUM(C29:E29))</f>
        <v/>
      </c>
      <c r="G29" s="1801"/>
      <c r="H29" s="1751"/>
      <c r="I29" s="1751"/>
      <c r="J29" s="1751"/>
      <c r="K29" s="1795"/>
    </row>
    <row r="30" spans="2:11" ht="15.75" customHeight="1" x14ac:dyDescent="0.25">
      <c r="B30" s="542" t="s">
        <v>348</v>
      </c>
      <c r="C30" s="538"/>
      <c r="D30" s="539"/>
      <c r="E30" s="540"/>
      <c r="F30" s="519" t="str">
        <f t="shared" ref="F30:F33" si="6">IF(SUM(C30:E30)=0,"",SUM(C30:E30))</f>
        <v/>
      </c>
      <c r="G30" s="1802"/>
      <c r="H30" s="1751"/>
      <c r="I30" s="1751"/>
      <c r="J30" s="1751"/>
      <c r="K30" s="1795"/>
    </row>
    <row r="31" spans="2:11" ht="15.75" customHeight="1" x14ac:dyDescent="0.25">
      <c r="B31" s="542" t="s">
        <v>327</v>
      </c>
      <c r="C31" s="538"/>
      <c r="D31" s="539"/>
      <c r="E31" s="540"/>
      <c r="F31" s="519" t="str">
        <f t="shared" si="6"/>
        <v/>
      </c>
      <c r="G31" s="1802"/>
      <c r="H31" s="1751"/>
      <c r="I31" s="1751"/>
      <c r="J31" s="1751"/>
      <c r="K31" s="1796" t="s">
        <v>349</v>
      </c>
    </row>
    <row r="32" spans="2:11" ht="15.75" customHeight="1" x14ac:dyDescent="0.25">
      <c r="B32" s="542" t="s">
        <v>327</v>
      </c>
      <c r="C32" s="538"/>
      <c r="D32" s="539"/>
      <c r="E32" s="540"/>
      <c r="F32" s="519" t="str">
        <f t="shared" si="6"/>
        <v/>
      </c>
      <c r="G32" s="1802"/>
      <c r="H32" s="1751"/>
      <c r="I32" s="1751"/>
      <c r="J32" s="1751"/>
      <c r="K32" s="1796"/>
    </row>
    <row r="33" spans="2:11" ht="15.75" customHeight="1" x14ac:dyDescent="0.25">
      <c r="B33" s="542" t="s">
        <v>327</v>
      </c>
      <c r="C33" s="538"/>
      <c r="D33" s="539"/>
      <c r="E33" s="540"/>
      <c r="F33" s="551" t="str">
        <f t="shared" si="6"/>
        <v/>
      </c>
      <c r="G33" s="1803"/>
      <c r="H33" s="1751"/>
      <c r="I33" s="1751"/>
      <c r="J33" s="1798"/>
      <c r="K33" s="1799" t="s">
        <v>350</v>
      </c>
    </row>
    <row r="34" spans="2:11" ht="18.75" customHeight="1" x14ac:dyDescent="0.25">
      <c r="B34" s="547" t="s">
        <v>351</v>
      </c>
      <c r="C34" s="527">
        <f>SUM(C7:C11,C13:C27,C29:C33)</f>
        <v>0</v>
      </c>
      <c r="D34" s="528">
        <f>SUM(D7:D11,D13:D27,D29:D33)</f>
        <v>0</v>
      </c>
      <c r="E34" s="529">
        <f>SUM(E7:E11,E13:E27,E29:E33)</f>
        <v>0</v>
      </c>
      <c r="F34" s="549">
        <f>SUM(F7:F11,F13:F27,F29:F33)</f>
        <v>0</v>
      </c>
      <c r="G34" s="530"/>
      <c r="H34" s="550"/>
      <c r="I34" s="550">
        <f>SUM(I7:I11,I13:I27)</f>
        <v>0</v>
      </c>
      <c r="J34" s="1797">
        <f>SUM(J7:J11,J13:J27)</f>
        <v>0</v>
      </c>
      <c r="K34" s="1804">
        <f>SUM(K7:K11,K13:K27)</f>
        <v>0</v>
      </c>
    </row>
    <row r="35" spans="2:11" ht="18.75" customHeight="1" x14ac:dyDescent="0.25">
      <c r="B35" s="548" t="s">
        <v>352</v>
      </c>
      <c r="C35" s="531">
        <f>IF('A.1.Présentation structure'!$C$30="Impôts commerciaux",(SUM(C7:C11)+SUM(C13:C27))*19.6/100,0)</f>
        <v>0</v>
      </c>
      <c r="D35" s="552">
        <f>IF('A.1.Présentation structure'!$C$30="Impôts commerciaux",(SUM(D7:D11)+SUM(D13:D27))*19.6/100,0)</f>
        <v>0</v>
      </c>
      <c r="E35" s="553">
        <f>IF('A.1.Présentation structure'!$C$30="Impôts commerciaux",(SUM(E7:E11)+SUM(E13:E27))*19.6/100,0)</f>
        <v>0</v>
      </c>
      <c r="F35" s="39"/>
      <c r="G35" s="39"/>
      <c r="H35" s="39"/>
      <c r="I35" s="39"/>
      <c r="J35" s="39"/>
      <c r="K35" s="39"/>
    </row>
    <row r="36" spans="2:11" x14ac:dyDescent="0.25">
      <c r="B36" s="532"/>
      <c r="C36" s="533"/>
      <c r="D36" s="533"/>
      <c r="E36" s="533"/>
      <c r="F36" s="533"/>
      <c r="G36" s="533"/>
      <c r="H36" s="533"/>
      <c r="I36" s="533"/>
      <c r="J36" s="533"/>
      <c r="K36" s="533"/>
    </row>
  </sheetData>
  <sheetProtection password="CC57" sheet="1" objects="1" scenarios="1"/>
  <protectedRanges>
    <protectedRange sqref="C7:E11 G7:H11 C13:E27 G13:H27 C29:E33 G29:G33" name="Plage2"/>
    <protectedRange sqref="B7:B11 B13:B27 B29:B33" name="Plage1"/>
  </protectedRanges>
  <mergeCells count="4">
    <mergeCell ref="C4:E4"/>
    <mergeCell ref="F4:H4"/>
    <mergeCell ref="I4:K4"/>
    <mergeCell ref="B1:K1"/>
  </mergeCells>
  <pageMargins left="0.7" right="0.7" top="0.75" bottom="0.75" header="0.3" footer="0.3"/>
  <pageSetup paperSize="9" scale="84" fitToWidth="0" orientation="landscape" r:id="rId1"/>
  <ignoredErrors>
    <ignoredError sqref="I10 I8" 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pageSetUpPr fitToPage="1"/>
  </sheetPr>
  <dimension ref="A1:W86"/>
  <sheetViews>
    <sheetView showGridLines="0" topLeftCell="A61" zoomScale="70" zoomScaleNormal="70" zoomScaleSheetLayoutView="70" workbookViewId="0">
      <selection activeCell="T13" sqref="S13:T13"/>
    </sheetView>
  </sheetViews>
  <sheetFormatPr baseColWidth="10" defaultColWidth="10.85546875" defaultRowHeight="23.25" customHeight="1" x14ac:dyDescent="0.25"/>
  <cols>
    <col min="1" max="1" width="5.140625" style="185" customWidth="1"/>
    <col min="2" max="2" width="33.140625" style="185" customWidth="1"/>
    <col min="3" max="8" width="11.5703125" style="185" customWidth="1"/>
    <col min="9" max="9" width="12" style="185" customWidth="1"/>
    <col min="10" max="10" width="36.7109375" style="185" customWidth="1"/>
    <col min="11" max="16" width="11.5703125" style="185" customWidth="1"/>
    <col min="17" max="16384" width="10.85546875" style="185"/>
  </cols>
  <sheetData>
    <row r="1" spans="1:23" ht="12.75" customHeight="1" x14ac:dyDescent="0.25">
      <c r="B1" s="187"/>
      <c r="C1" s="187"/>
      <c r="D1" s="187"/>
      <c r="E1" s="187"/>
      <c r="F1" s="187"/>
      <c r="G1" s="187"/>
      <c r="H1" s="187"/>
      <c r="I1" s="187"/>
      <c r="J1" s="187"/>
      <c r="K1" s="187"/>
      <c r="L1" s="187"/>
      <c r="M1" s="187"/>
      <c r="N1" s="187"/>
    </row>
    <row r="2" spans="1:23" ht="32.25" customHeight="1" thickBot="1" x14ac:dyDescent="0.3">
      <c r="A2" s="188"/>
      <c r="B2" s="2257" t="s">
        <v>331</v>
      </c>
      <c r="C2" s="2258"/>
      <c r="D2" s="2258"/>
      <c r="E2" s="2258"/>
      <c r="F2" s="2258"/>
      <c r="G2" s="2258"/>
      <c r="H2" s="2258"/>
      <c r="I2" s="2258"/>
      <c r="J2" s="2258"/>
      <c r="K2" s="2258"/>
      <c r="L2" s="2258"/>
      <c r="M2" s="2258"/>
      <c r="N2" s="2258"/>
      <c r="O2" s="2258"/>
      <c r="P2" s="2259"/>
    </row>
    <row r="3" spans="1:23" ht="23.25" customHeight="1" thickTop="1" x14ac:dyDescent="0.25">
      <c r="B3" s="1046"/>
      <c r="C3" s="1047"/>
      <c r="D3" s="1047"/>
      <c r="E3" s="1047"/>
      <c r="F3" s="1047"/>
      <c r="G3" s="1047"/>
      <c r="H3" s="1047"/>
      <c r="I3" s="7"/>
      <c r="J3" s="1047"/>
      <c r="K3" s="1047"/>
      <c r="L3" s="1047"/>
      <c r="M3" s="1048"/>
      <c r="N3" s="1048"/>
      <c r="O3" s="1048"/>
      <c r="P3" s="1048"/>
      <c r="Q3" s="25"/>
      <c r="R3" s="25"/>
      <c r="S3" s="25"/>
      <c r="T3" s="25"/>
      <c r="U3" s="25"/>
      <c r="V3" s="25"/>
      <c r="W3" s="25"/>
    </row>
    <row r="4" spans="1:23" ht="23.25" customHeight="1" thickBot="1" x14ac:dyDescent="0.3">
      <c r="A4" s="25"/>
      <c r="B4" s="2266" t="s">
        <v>441</v>
      </c>
      <c r="C4" s="2267"/>
      <c r="D4" s="2267"/>
      <c r="E4" s="2267"/>
      <c r="F4" s="2267"/>
      <c r="G4" s="2267"/>
      <c r="H4" s="2268"/>
      <c r="I4" s="25"/>
      <c r="J4" s="2272" t="s">
        <v>442</v>
      </c>
      <c r="K4" s="2267"/>
      <c r="L4" s="2267"/>
      <c r="M4" s="2267"/>
      <c r="N4" s="2267"/>
      <c r="O4" s="2267"/>
      <c r="P4" s="2268"/>
    </row>
    <row r="5" spans="1:23" ht="23.25" customHeight="1" thickTop="1" x14ac:dyDescent="0.25">
      <c r="A5" s="25"/>
      <c r="B5" s="300"/>
      <c r="C5" s="300"/>
      <c r="D5" s="300"/>
      <c r="E5" s="1043"/>
      <c r="F5" s="1043"/>
      <c r="G5" s="1043"/>
      <c r="H5" s="1043"/>
      <c r="I5" s="25"/>
      <c r="J5" s="300"/>
      <c r="K5" s="300"/>
      <c r="L5" s="300"/>
      <c r="M5" s="300"/>
      <c r="N5" s="300"/>
      <c r="O5" s="300"/>
      <c r="P5" s="300"/>
    </row>
    <row r="6" spans="1:23" ht="23.25" customHeight="1" thickBot="1" x14ac:dyDescent="0.3">
      <c r="A6" s="25"/>
      <c r="B6" s="2269" t="s">
        <v>42</v>
      </c>
      <c r="C6" s="2270"/>
      <c r="D6" s="2270"/>
      <c r="E6" s="2270"/>
      <c r="F6" s="2270"/>
      <c r="G6" s="2270"/>
      <c r="H6" s="2271"/>
      <c r="I6" s="1044"/>
      <c r="J6" s="2269" t="s">
        <v>144</v>
      </c>
      <c r="K6" s="2270"/>
      <c r="L6" s="2270"/>
      <c r="M6" s="2270"/>
      <c r="N6" s="2270"/>
      <c r="O6" s="2270"/>
      <c r="P6" s="2271"/>
      <c r="Q6" s="1044"/>
      <c r="R6" s="1045"/>
    </row>
    <row r="7" spans="1:23" ht="12.75" customHeight="1" thickTop="1" x14ac:dyDescent="0.25">
      <c r="A7" s="25"/>
      <c r="B7" s="300"/>
      <c r="C7" s="300"/>
      <c r="D7" s="300"/>
      <c r="E7" s="300"/>
      <c r="F7" s="300"/>
      <c r="G7" s="300"/>
      <c r="H7" s="300"/>
      <c r="I7" s="25"/>
      <c r="J7" s="300"/>
      <c r="K7" s="300"/>
      <c r="L7" s="300"/>
      <c r="M7" s="300"/>
      <c r="N7" s="300"/>
      <c r="O7" s="300"/>
      <c r="P7" s="300"/>
    </row>
    <row r="8" spans="1:23" ht="23.25" customHeight="1" x14ac:dyDescent="0.25">
      <c r="A8" s="25"/>
      <c r="B8" s="300"/>
      <c r="C8" s="300"/>
      <c r="D8" s="300"/>
      <c r="E8" s="300"/>
      <c r="F8" s="300"/>
      <c r="G8" s="300"/>
      <c r="H8" s="300"/>
      <c r="I8" s="25"/>
      <c r="J8" s="300"/>
      <c r="K8" s="300"/>
      <c r="L8" s="300"/>
      <c r="M8" s="300"/>
      <c r="N8" s="300"/>
      <c r="O8" s="300"/>
      <c r="P8" s="300"/>
    </row>
    <row r="9" spans="1:23" ht="23.25" customHeight="1" x14ac:dyDescent="0.25">
      <c r="A9" s="25"/>
      <c r="B9" s="300"/>
      <c r="C9" s="300"/>
      <c r="D9" s="300"/>
      <c r="E9" s="300"/>
      <c r="F9" s="300"/>
      <c r="G9" s="300"/>
      <c r="H9" s="300"/>
      <c r="I9" s="25"/>
      <c r="J9" s="300"/>
      <c r="K9" s="300"/>
      <c r="L9" s="300"/>
      <c r="M9" s="300"/>
      <c r="N9" s="300"/>
      <c r="O9" s="300"/>
      <c r="P9" s="300"/>
    </row>
    <row r="10" spans="1:23" ht="23.25" customHeight="1" x14ac:dyDescent="0.25">
      <c r="A10" s="25"/>
      <c r="B10" s="300"/>
      <c r="C10" s="300"/>
      <c r="D10" s="300"/>
      <c r="E10" s="300"/>
      <c r="F10" s="300"/>
      <c r="G10" s="300"/>
      <c r="H10" s="300"/>
      <c r="I10" s="25"/>
      <c r="J10" s="300"/>
      <c r="K10" s="300"/>
      <c r="L10" s="300"/>
      <c r="M10" s="300"/>
      <c r="N10" s="300"/>
      <c r="O10" s="300"/>
      <c r="P10" s="300"/>
    </row>
    <row r="11" spans="1:23" ht="23.25" customHeight="1" x14ac:dyDescent="0.25">
      <c r="A11" s="25"/>
      <c r="B11" s="300"/>
      <c r="C11" s="300"/>
      <c r="D11" s="300"/>
      <c r="E11" s="300"/>
      <c r="F11" s="300"/>
      <c r="G11" s="300"/>
      <c r="H11" s="300"/>
      <c r="I11" s="25"/>
      <c r="J11" s="300"/>
      <c r="K11" s="300"/>
      <c r="L11" s="300"/>
      <c r="M11" s="300"/>
      <c r="N11" s="300"/>
      <c r="O11" s="300"/>
      <c r="P11" s="300"/>
    </row>
    <row r="12" spans="1:23" ht="23.25" customHeight="1" x14ac:dyDescent="0.25">
      <c r="A12" s="25"/>
      <c r="B12" s="300"/>
      <c r="C12" s="300"/>
      <c r="D12" s="300"/>
      <c r="E12" s="300"/>
      <c r="F12" s="300"/>
      <c r="G12" s="300"/>
      <c r="H12" s="300"/>
      <c r="I12" s="25"/>
      <c r="J12" s="300"/>
      <c r="K12" s="300"/>
      <c r="L12" s="300"/>
      <c r="M12" s="300"/>
      <c r="N12" s="300"/>
      <c r="O12" s="300"/>
      <c r="P12" s="300"/>
    </row>
    <row r="13" spans="1:23" ht="23.25" customHeight="1" x14ac:dyDescent="0.25">
      <c r="A13" s="25"/>
      <c r="B13" s="300"/>
      <c r="C13" s="300"/>
      <c r="D13" s="300"/>
      <c r="E13" s="300"/>
      <c r="F13" s="300"/>
      <c r="G13" s="300"/>
      <c r="H13" s="300"/>
      <c r="I13" s="25"/>
      <c r="J13" s="300"/>
      <c r="K13" s="300"/>
      <c r="L13" s="300"/>
      <c r="M13" s="300"/>
      <c r="N13" s="300"/>
      <c r="O13" s="300"/>
      <c r="P13" s="300"/>
    </row>
    <row r="14" spans="1:23" ht="23.25" customHeight="1" x14ac:dyDescent="0.25">
      <c r="A14" s="25"/>
      <c r="B14" s="300"/>
      <c r="C14" s="300"/>
      <c r="D14" s="300"/>
      <c r="E14" s="300"/>
      <c r="F14" s="300"/>
      <c r="G14" s="300"/>
      <c r="H14" s="300"/>
      <c r="I14" s="25"/>
      <c r="J14" s="300"/>
      <c r="K14" s="300"/>
      <c r="L14" s="300"/>
      <c r="M14" s="300"/>
      <c r="N14" s="300"/>
      <c r="O14" s="300"/>
      <c r="P14" s="300"/>
    </row>
    <row r="15" spans="1:23" ht="23.25" customHeight="1" x14ac:dyDescent="0.25">
      <c r="A15" s="25"/>
      <c r="B15" s="300"/>
      <c r="C15" s="300"/>
      <c r="D15" s="300"/>
      <c r="E15" s="300"/>
      <c r="F15" s="300"/>
      <c r="G15" s="300"/>
      <c r="H15" s="300"/>
      <c r="I15" s="25"/>
      <c r="J15" s="300"/>
      <c r="K15" s="300"/>
      <c r="L15" s="300"/>
      <c r="M15" s="300"/>
      <c r="N15" s="300"/>
      <c r="O15" s="300"/>
      <c r="P15" s="300"/>
    </row>
    <row r="16" spans="1:23" ht="23.25" customHeight="1" x14ac:dyDescent="0.25">
      <c r="A16" s="25"/>
      <c r="B16" s="300"/>
      <c r="C16" s="300"/>
      <c r="D16" s="300"/>
      <c r="E16" s="300"/>
      <c r="F16" s="300"/>
      <c r="G16" s="300"/>
      <c r="H16" s="300"/>
      <c r="I16" s="25"/>
      <c r="J16" s="300"/>
      <c r="K16" s="300"/>
      <c r="L16" s="300"/>
      <c r="M16" s="300"/>
      <c r="N16" s="300"/>
      <c r="O16" s="300"/>
      <c r="P16" s="300"/>
    </row>
    <row r="17" spans="1:16" ht="23.25" customHeight="1" x14ac:dyDescent="0.25">
      <c r="A17" s="25"/>
      <c r="B17" s="300"/>
      <c r="C17" s="300"/>
      <c r="D17" s="300"/>
      <c r="E17" s="300"/>
      <c r="F17" s="300"/>
      <c r="G17" s="300"/>
      <c r="H17" s="300"/>
      <c r="I17" s="25"/>
      <c r="J17" s="300"/>
      <c r="K17" s="300"/>
      <c r="L17" s="300"/>
      <c r="M17" s="300"/>
      <c r="N17" s="300"/>
      <c r="O17" s="300"/>
      <c r="P17" s="300"/>
    </row>
    <row r="18" spans="1:16" ht="23.25" customHeight="1" x14ac:dyDescent="0.25">
      <c r="A18" s="25"/>
      <c r="B18" s="300"/>
      <c r="C18" s="300"/>
      <c r="D18" s="300"/>
      <c r="E18" s="300"/>
      <c r="F18" s="300"/>
      <c r="G18" s="300"/>
      <c r="H18" s="300"/>
      <c r="I18" s="25"/>
      <c r="J18" s="300"/>
      <c r="K18" s="300"/>
      <c r="L18" s="300"/>
      <c r="M18" s="300"/>
      <c r="N18" s="300"/>
      <c r="O18" s="300"/>
      <c r="P18" s="300"/>
    </row>
    <row r="19" spans="1:16" ht="23.25" customHeight="1" x14ac:dyDescent="0.25">
      <c r="A19" s="25"/>
      <c r="B19" s="300"/>
      <c r="C19" s="300"/>
      <c r="D19" s="300"/>
      <c r="E19" s="300"/>
      <c r="F19" s="300"/>
      <c r="G19" s="300"/>
      <c r="H19" s="300"/>
      <c r="I19" s="25"/>
      <c r="J19" s="300"/>
      <c r="K19" s="300"/>
      <c r="L19" s="300"/>
      <c r="M19" s="300"/>
      <c r="N19" s="300"/>
      <c r="O19" s="300"/>
      <c r="P19" s="300"/>
    </row>
    <row r="20" spans="1:16" ht="23.25" customHeight="1" thickBot="1" x14ac:dyDescent="0.3">
      <c r="A20" s="25"/>
      <c r="B20" s="2269" t="s">
        <v>125</v>
      </c>
      <c r="C20" s="2270"/>
      <c r="D20" s="2270"/>
      <c r="E20" s="2270"/>
      <c r="F20" s="2270"/>
      <c r="G20" s="2270"/>
      <c r="H20" s="2271"/>
      <c r="I20" s="1044"/>
      <c r="J20" s="2269" t="s">
        <v>124</v>
      </c>
      <c r="K20" s="2270"/>
      <c r="L20" s="2270"/>
      <c r="M20" s="2270"/>
      <c r="N20" s="2270"/>
      <c r="O20" s="2270"/>
      <c r="P20" s="2271"/>
    </row>
    <row r="21" spans="1:16" ht="13.5" customHeight="1" thickTop="1" x14ac:dyDescent="0.25">
      <c r="A21" s="25"/>
      <c r="B21" s="300"/>
      <c r="C21" s="300"/>
      <c r="D21" s="300"/>
      <c r="E21" s="300"/>
      <c r="F21" s="300"/>
      <c r="G21" s="300"/>
      <c r="H21" s="300"/>
      <c r="I21" s="25"/>
      <c r="J21" s="300"/>
      <c r="K21" s="300"/>
      <c r="L21" s="300"/>
      <c r="M21" s="300"/>
      <c r="N21" s="300"/>
      <c r="O21" s="300"/>
      <c r="P21" s="300"/>
    </row>
    <row r="22" spans="1:16" ht="23.25" customHeight="1" thickTop="1" x14ac:dyDescent="0.25">
      <c r="A22" s="25"/>
      <c r="B22" s="270"/>
      <c r="C22" s="271">
        <f>D22-1</f>
        <v>2014</v>
      </c>
      <c r="D22" s="272">
        <f>E22-1</f>
        <v>2015</v>
      </c>
      <c r="E22" s="1791">
        <f>'A.1.Présentation structure'!C22</f>
        <v>2016</v>
      </c>
      <c r="F22" s="1792">
        <f>E22+1</f>
        <v>2017</v>
      </c>
      <c r="G22" s="768">
        <f>F22+1</f>
        <v>2018</v>
      </c>
      <c r="H22" s="741">
        <f>G22+1</f>
        <v>2019</v>
      </c>
      <c r="I22" s="25"/>
      <c r="J22" s="75"/>
      <c r="K22" s="275">
        <f>L22-1</f>
        <v>2014</v>
      </c>
      <c r="L22" s="276">
        <f>M22-1</f>
        <v>2015</v>
      </c>
      <c r="M22" s="272">
        <f>'A.1.Présentation structure'!C22</f>
        <v>2016</v>
      </c>
      <c r="N22" s="1793">
        <f>M22+1</f>
        <v>2017</v>
      </c>
      <c r="O22" s="768">
        <f>N22+1</f>
        <v>2018</v>
      </c>
      <c r="P22" s="741">
        <f>O22+1</f>
        <v>2019</v>
      </c>
    </row>
    <row r="23" spans="1:16" ht="23.25" customHeight="1" x14ac:dyDescent="0.25">
      <c r="A23" s="25"/>
      <c r="B23" s="273" t="s">
        <v>126</v>
      </c>
      <c r="C23" s="277">
        <f>'B.3.Comptes passés &amp; en cours'!I8</f>
        <v>0</v>
      </c>
      <c r="D23" s="278">
        <f>'B.3.Comptes passés &amp; en cours'!J8</f>
        <v>0</v>
      </c>
      <c r="E23" s="1374">
        <f>'B.3.Comptes passés &amp; en cours'!K8</f>
        <v>0</v>
      </c>
      <c r="F23" s="1380">
        <f>E23+'12.Plan de financement'!C20-'12.Plan de financement'!C18+'7.Budgets prévisionnels'!E38</f>
        <v>0</v>
      </c>
      <c r="G23" s="1380">
        <f>F23+'12.Plan de financement'!D20-'12.Plan de financement'!D18+'7.Budgets prévisionnels'!F38</f>
        <v>0</v>
      </c>
      <c r="H23" s="711">
        <f>G23+'12.Plan de financement'!E20-'12.Plan de financement'!E18+'7.Budgets prévisionnels'!G38</f>
        <v>0</v>
      </c>
      <c r="I23" s="25"/>
      <c r="J23" s="273" t="s">
        <v>260</v>
      </c>
      <c r="K23" s="277">
        <f>'B.3.Comptes passés &amp; en cours'!C42</f>
        <v>0</v>
      </c>
      <c r="L23" s="278">
        <f>'B.3.Comptes passés &amp; en cours'!D42</f>
        <v>0</v>
      </c>
      <c r="M23" s="278">
        <f>'B.3.Comptes passés &amp; en cours'!E42</f>
        <v>0</v>
      </c>
      <c r="N23" s="1374">
        <f>'B.3.Comptes passés &amp; en cours'!G79</f>
        <v>0</v>
      </c>
      <c r="O23" s="278">
        <f>'7.Budgets prévisionnels'!F37</f>
        <v>0</v>
      </c>
      <c r="P23" s="279">
        <f>'7.Budgets prévisionnels'!G37</f>
        <v>0</v>
      </c>
    </row>
    <row r="24" spans="1:16" ht="23.25" customHeight="1" x14ac:dyDescent="0.25">
      <c r="A24" s="25"/>
      <c r="B24" s="273" t="s">
        <v>127</v>
      </c>
      <c r="C24" s="277">
        <f>'B.3.Comptes passés &amp; en cours'!I8+'B.3.Comptes passés &amp; en cours'!I9+'B.3.Comptes passés &amp; en cours'!I10-'B.3.Comptes passés &amp; en cours'!C8</f>
        <v>0</v>
      </c>
      <c r="D24" s="278">
        <f>'B.3.Comptes passés &amp; en cours'!J8+'B.3.Comptes passés &amp; en cours'!J9+'B.3.Comptes passés &amp; en cours'!J10-'B.3.Comptes passés &amp; en cours'!D8</f>
        <v>0</v>
      </c>
      <c r="E24" s="1374">
        <f>'B.3.Comptes passés &amp; en cours'!K8+'B.3.Comptes passés &amp; en cours'!K9+'B.3.Comptes passés &amp; en cours'!K10-'B.3.Comptes passés &amp; en cours'!E8</f>
        <v>0</v>
      </c>
      <c r="F24" s="1380">
        <f>E24+F23-(('12.Plan de financement'!C7+'12.Plan de financement'!C8+'12.Plan de financement'!C9)-('7.Budgets prévisionnels'!E29+'7.Budgets prévisionnels'!E30))</f>
        <v>0</v>
      </c>
      <c r="G24" s="1380">
        <f>F24+G23-(('12.Plan de financement'!D7+'12.Plan de financement'!D8+'12.Plan de financement'!D9)-('7.Budgets prévisionnels'!F29+'7.Budgets prévisionnels'!F30))</f>
        <v>0</v>
      </c>
      <c r="H24" s="711">
        <f>G24+H23-(('12.Plan de financement'!E7+'12.Plan de financement'!E8+'12.Plan de financement'!E9)-('7.Budgets prévisionnels'!G29+'7.Budgets prévisionnels'!G30))</f>
        <v>0</v>
      </c>
      <c r="I24" s="25"/>
      <c r="J24" s="273" t="s">
        <v>123</v>
      </c>
      <c r="K24" s="277">
        <f>'B.3.Comptes passés &amp; en cours'!C43</f>
        <v>0</v>
      </c>
      <c r="L24" s="278">
        <f>'B.3.Comptes passés &amp; en cours'!D43</f>
        <v>0</v>
      </c>
      <c r="M24" s="278">
        <f>'B.3.Comptes passés &amp; en cours'!E43</f>
        <v>0</v>
      </c>
      <c r="N24" s="1374">
        <f>'B.3.Comptes passés &amp; en cours'!G80</f>
        <v>0</v>
      </c>
      <c r="O24" s="278">
        <f>'7.Budgets prévisionnels'!F38</f>
        <v>0</v>
      </c>
      <c r="P24" s="279">
        <f>'7.Budgets prévisionnels'!G38</f>
        <v>0</v>
      </c>
    </row>
    <row r="25" spans="1:16" ht="23.25" customHeight="1" x14ac:dyDescent="0.25">
      <c r="A25" s="25"/>
      <c r="B25" s="273" t="s">
        <v>128</v>
      </c>
      <c r="C25" s="301">
        <f>'B.3.Comptes passés &amp; en cours'!C13-'B.3.Comptes passés &amp; en cours'!C11-('B.3.Comptes passés &amp; en cours'!I11-'B.3.Comptes passés &amp; en cours'!I15)</f>
        <v>0</v>
      </c>
      <c r="D25" s="302">
        <f>'B.3.Comptes passés &amp; en cours'!D13-'B.3.Comptes passés &amp; en cours'!D11-('B.3.Comptes passés &amp; en cours'!J11-'B.3.Comptes passés &amp; en cours'!J15)</f>
        <v>0</v>
      </c>
      <c r="E25" s="1375">
        <f>'B.3.Comptes passés &amp; en cours'!E13-'B.3.Comptes passés &amp; en cours'!E11-('B.3.Comptes passés &amp; en cours'!K11-'B.3.Comptes passés &amp; en cours'!K15)</f>
        <v>0</v>
      </c>
      <c r="F25" s="1381">
        <f>'12.Plan de financement'!C50</f>
        <v>0</v>
      </c>
      <c r="G25" s="1381">
        <f>'12.Plan de financement'!D50</f>
        <v>0</v>
      </c>
      <c r="H25" s="712">
        <f>'12.Plan de financement'!E50</f>
        <v>0</v>
      </c>
      <c r="I25" s="25"/>
      <c r="J25" s="273" t="s">
        <v>63</v>
      </c>
      <c r="K25" s="498" t="str">
        <f>IF(K24=0, "", K24/('B.3.Comptes passés &amp; en cours'!I33+'B.3.Comptes passés &amp; en cours'!I34+'B.3.Comptes passés &amp; en cours'!I35+'B.3.Comptes passés &amp; en cours'!I36))</f>
        <v/>
      </c>
      <c r="L25" s="499" t="str">
        <f>IF(L24=0, "",L24/('B.3.Comptes passés &amp; en cours'!J33+'B.3.Comptes passés &amp; en cours'!J34+'B.3.Comptes passés &amp; en cours'!J35+'B.3.Comptes passés &amp; en cours'!J36))</f>
        <v/>
      </c>
      <c r="M25" s="498" t="str">
        <f>IF(M24=0, "", M24/('B.3.Comptes passés &amp; en cours'!K33+'B.3.Comptes passés &amp; en cours'!K34+'B.3.Comptes passés &amp; en cours'!K35+'B.3.Comptes passés &amp; en cours'!K36))</f>
        <v/>
      </c>
      <c r="N25" s="1794" t="str">
        <f>IF(N24=0, "",N24/('B.3.Comptes passés &amp; en cours'!G59+'B.3.Comptes passés &amp; en cours'!G60+'B.3.Comptes passés &amp; en cours'!G61+'B.3.Comptes passés &amp; en cours'!G63-'B.3.Comptes passés &amp; en cours'!G62))</f>
        <v/>
      </c>
      <c r="O25" s="499" t="str">
        <f>IF(O24=0, "",O24/('7.Budgets prévisionnels'!F16+'7.Budgets prévisionnels'!F17+'7.Budgets prévisionnels'!F18+'7.Budgets prévisionnels'!F20-'7.Budgets prévisionnels'!F19))</f>
        <v/>
      </c>
      <c r="P25" s="282" t="str">
        <f>IF(P24=0, "",P24/('7.Budgets prévisionnels'!G16+'7.Budgets prévisionnels'!G17+'7.Budgets prévisionnels'!G18+'7.Budgets prévisionnels'!G20))</f>
        <v/>
      </c>
    </row>
    <row r="26" spans="1:16" ht="23.25" customHeight="1" x14ac:dyDescent="0.25">
      <c r="A26" s="25"/>
      <c r="B26" s="43" t="s">
        <v>129</v>
      </c>
      <c r="C26" s="303">
        <f t="shared" ref="C26:H26" si="0">C24-C25</f>
        <v>0</v>
      </c>
      <c r="D26" s="304">
        <f t="shared" si="0"/>
        <v>0</v>
      </c>
      <c r="E26" s="1376">
        <f t="shared" si="0"/>
        <v>0</v>
      </c>
      <c r="F26" s="1382">
        <f t="shared" si="0"/>
        <v>0</v>
      </c>
      <c r="G26" s="1382">
        <f t="shared" si="0"/>
        <v>0</v>
      </c>
      <c r="H26" s="305">
        <f t="shared" si="0"/>
        <v>0</v>
      </c>
      <c r="I26" s="25"/>
      <c r="J26" s="1918" t="s">
        <v>19</v>
      </c>
      <c r="K26" s="280" t="str">
        <f>IF(('B.3.Comptes passés &amp; en cours'!I24+'B.3.Comptes passés &amp; en cours'!I25)=0, "", (('B.3.Comptes passés &amp; en cours'!I24+'B.3.Comptes passés &amp; en cours'!I25)-('B.3.Comptes passés &amp; en cours'!C24+'B.3.Comptes passés &amp; en cours'!C28+'B.3.Comptes passés &amp; en cours'!C30))/('B.3.Comptes passés &amp; en cours'!I24+'B.3.Comptes passés &amp; en cours'!I25))</f>
        <v/>
      </c>
      <c r="L26" s="281" t="str">
        <f>IF(('B.3.Comptes passés &amp; en cours'!J24+'B.3.Comptes passés &amp; en cours'!J25)=0, "", (('B.3.Comptes passés &amp; en cours'!J24+'B.3.Comptes passés &amp; en cours'!J25)-('B.3.Comptes passés &amp; en cours'!D24+'B.3.Comptes passés &amp; en cours'!D28+'B.3.Comptes passés &amp; en cours'!D30))/('B.3.Comptes passés &amp; en cours'!J24+'B.3.Comptes passés &amp; en cours'!J25))</f>
        <v/>
      </c>
      <c r="M26" s="281" t="str">
        <f>IF(('B.3.Comptes passés &amp; en cours'!K24+'B.3.Comptes passés &amp; en cours'!K25)=0, "", (('B.3.Comptes passés &amp; en cours'!K24+'B.3.Comptes passés &amp; en cours'!K25)-('B.3.Comptes passés &amp; en cours'!E24+'B.3.Comptes passés &amp; en cours'!E28+'B.3.Comptes passés &amp; en cours'!E30))/('B.3.Comptes passés &amp; en cours'!K24+'B.3.Comptes passés &amp; en cours'!K25))</f>
        <v/>
      </c>
      <c r="N26" s="1794" t="str">
        <f>IF(('B.3.Comptes passés &amp; en cours'!G50+'B.3.Comptes passés &amp; en cours'!G51)=0, "", (('B.3.Comptes passés &amp; en cours'!G50+'B.3.Comptes passés &amp; en cours'!G51)-('B.3.Comptes passés &amp; en cours'!G65+'B.3.Comptes passés &amp; en cours'!G69+'B.3.Comptes passés &amp; en cours'!G71))/('B.3.Comptes passés &amp; en cours'!G50+'B.3.Comptes passés &amp; en cours'!G51))</f>
        <v/>
      </c>
      <c r="O26" s="1794" t="str">
        <f>IF(('7.Budgets prévisionnels'!F7+'7.Budgets prévisionnels'!F8)=0, "", (('7.Budgets prévisionnels'!F7+'7.Budgets prévisionnels'!F8)-('7.Budgets prévisionnels'!F22+'7.Budgets prévisionnels'!F26+'7.Budgets prévisionnels'!F28))/('7.Budgets prévisionnels'!F7+'7.Budgets prévisionnels'!F8))</f>
        <v/>
      </c>
      <c r="P26" s="500" t="str">
        <f>IF(('7.Budgets prévisionnels'!G7+'7.Budgets prévisionnels'!G8)=0, "", (('7.Budgets prévisionnels'!G7+'7.Budgets prévisionnels'!G8)-('7.Budgets prévisionnels'!G22+'7.Budgets prévisionnels'!G26+'7.Budgets prévisionnels'!G28))/('7.Budgets prévisionnels'!G7+'7.Budgets prévisionnels'!G8))</f>
        <v/>
      </c>
    </row>
    <row r="27" spans="1:16" ht="23.25" customHeight="1" x14ac:dyDescent="0.25">
      <c r="A27" s="25"/>
      <c r="B27" s="1035" t="s">
        <v>436</v>
      </c>
      <c r="C27" s="1378" t="str">
        <f>IF(C24=0,"",(C24/('B.3.Comptes passés &amp; en cours'!C33-'B.3.Comptes passés &amp; en cours'!C31)*360))</f>
        <v/>
      </c>
      <c r="D27" s="1379" t="str">
        <f>IF(D24=0,"",D24/('B.3.Comptes passés &amp; en cours'!D33-'B.3.Comptes passés &amp; en cours'!D31)*360)</f>
        <v/>
      </c>
      <c r="E27" s="306" t="str">
        <f>IF(E24=0,"",E24/('B.3.Comptes passés &amp; en cours'!E33-'B.3.Comptes passés &amp; en cours'!E31)*360)</f>
        <v/>
      </c>
      <c r="F27" s="1383" t="str">
        <f>IF(F24=0,"",F24/('7.Budgets prévisionnels'!E32-'7.Budgets prévisionnels'!E29-'7.Budgets prévisionnels'!E30)*360)</f>
        <v/>
      </c>
      <c r="G27" s="1383" t="str">
        <f>IF(G24=0,"",G24/('7.Budgets prévisionnels'!F32-'7.Budgets prévisionnels'!F29-'7.Budgets prévisionnels'!F30)*360)</f>
        <v/>
      </c>
      <c r="H27" s="307" t="str">
        <f>IF(H24=0,"",H24/('7.Budgets prévisionnels'!G32-'7.Budgets prévisionnels'!G29-'7.Budgets prévisionnels'!G30)*360)</f>
        <v/>
      </c>
      <c r="I27" s="25"/>
      <c r="J27" s="2260" t="s">
        <v>284</v>
      </c>
      <c r="K27" s="2262" t="str">
        <f>IF(K26="", "", IF((('B.3.Comptes passés &amp; en cours'!C33-('B.3.Comptes passés &amp; en cours'!C24+'B.3.Comptes passés &amp; en cours'!C28+'B.3.Comptes passés &amp; en cours'!C30))/K26)&gt;0,(('B.3.Comptes passés &amp; en cours'!C33-('B.3.Comptes passés &amp; en cours'!C24+'B.3.Comptes passés &amp; en cours'!C28+'B.3.Comptes passés &amp; en cours'!C30))/K26),"Le modèle éco. n'est pas viable"))</f>
        <v/>
      </c>
      <c r="L27" s="2264" t="str">
        <f>IF(L26="", "", IF((('B.3.Comptes passés &amp; en cours'!D33-('B.3.Comptes passés &amp; en cours'!D24+'B.3.Comptes passés &amp; en cours'!D28+'B.3.Comptes passés &amp; en cours'!D30))/L26)&gt;0,(('B.3.Comptes passés &amp; en cours'!D33-('B.3.Comptes passés &amp; en cours'!D24+'B.3.Comptes passés &amp; en cours'!D28+'B.3.Comptes passés &amp; en cours'!D30))/L26),"Le modèle éco. n'est pas viable"))</f>
        <v/>
      </c>
      <c r="M27" s="2264" t="str">
        <f>IF(M26="", "", IF((('B.3.Comptes passés &amp; en cours'!E33-('B.3.Comptes passés &amp; en cours'!E24+'B.3.Comptes passés &amp; en cours'!E28+'B.3.Comptes passés &amp; en cours'!E30))/M26)&gt;0,(('B.3.Comptes passés &amp; en cours'!E33-('B.3.Comptes passés &amp; en cours'!E24+'B.3.Comptes passés &amp; en cours'!E28+'B.3.Comptes passés &amp; en cours'!E30))/M26),"Le modèle éco. n'est pas viable"))</f>
        <v/>
      </c>
      <c r="N27" s="2264" t="str">
        <f>IF(N26="", "", IF((('B.3.Comptes passés &amp; en cours'!G74-('B.3.Comptes passés &amp; en cours'!G65+'B.3.Comptes passés &amp; en cours'!G69+'B.3.Comptes passés &amp; en cours'!G71))/N26)&gt;0,(('B.3.Comptes passés &amp; en cours'!G74-('B.3.Comptes passés &amp; en cours'!G65+'B.3.Comptes passés &amp; en cours'!G69+'B.3.Comptes passés &amp; en cours'!G71))/N26),"Le modèle éco. n'est pas viable"))</f>
        <v/>
      </c>
      <c r="O27" s="2274" t="str">
        <f>IF(O26="", "", IF((('7.Budgets prévisionnels'!F32-('7.Budgets prévisionnels'!F22+'7.Budgets prévisionnels'!F26+'D.10.Synthèse éco&amp;fi'!F72))/O26)&gt;0,(('7.Budgets prévisionnels'!F32-('7.Budgets prévisionnels'!F22+'7.Budgets prévisionnels'!F26+'D.10.Synthèse éco&amp;fi'!F72))/O26),"Le modèle éco. n'est pas viable"))</f>
        <v/>
      </c>
      <c r="P27" s="2276" t="str">
        <f>IF(P26="", "", IF((('7.Budgets prévisionnels'!G32-('7.Budgets prévisionnels'!G22+'7.Budgets prévisionnels'!G26+'D.10.Synthèse éco&amp;fi'!G72))/P26)&gt;0,(('7.Budgets prévisionnels'!G32-('7.Budgets prévisionnels'!G22+'7.Budgets prévisionnels'!G26+'D.10.Synthèse éco&amp;fi'!G72))/P26),"Le modèle éco. n'est pas viable"))</f>
        <v/>
      </c>
    </row>
    <row r="28" spans="1:16" ht="23.25" customHeight="1" thickBot="1" x14ac:dyDescent="0.3">
      <c r="A28" s="25"/>
      <c r="B28" s="739" t="s">
        <v>415</v>
      </c>
      <c r="C28" s="340" t="str">
        <f>IF(C26=0,"",(C26/'B.3.Comptes passés &amp; en cours'!I11))</f>
        <v/>
      </c>
      <c r="D28" s="341" t="str">
        <f>IF(D26=0,"",(D26/'B.3.Comptes passés &amp; en cours'!J11))</f>
        <v/>
      </c>
      <c r="E28" s="1377" t="str">
        <f>IF(E26=0,"",(E26/'B.3.Comptes passés &amp; en cours'!K11))</f>
        <v/>
      </c>
      <c r="F28" s="1384" t="str">
        <f>IF(F26=0,"",(F26/('12.Plan de financement'!C48)))</f>
        <v/>
      </c>
      <c r="G28" s="1384" t="str">
        <f>IF(G26=0,"",(G26/('12.Plan de financement'!D48)))</f>
        <v/>
      </c>
      <c r="H28" s="1373" t="str">
        <f>IF(H26=0,"",(H26/('12.Plan de financement'!E48)))</f>
        <v/>
      </c>
      <c r="I28" s="25"/>
      <c r="J28" s="2261"/>
      <c r="K28" s="2263"/>
      <c r="L28" s="2265"/>
      <c r="M28" s="2265"/>
      <c r="N28" s="2265"/>
      <c r="O28" s="2275"/>
      <c r="P28" s="2277"/>
    </row>
    <row r="29" spans="1:16" ht="23.25" customHeight="1" thickTop="1" x14ac:dyDescent="0.25">
      <c r="A29" s="25"/>
      <c r="B29" s="1127" t="s">
        <v>248</v>
      </c>
      <c r="C29" s="1127" t="str">
        <f>IF('B.3.Comptes passés &amp; en cours'!C11-'B.3.Comptes passés &amp; en cours'!I15='B.3.Comptes passés &amp; en cours'!C11, "ok",C26-'B.3.Comptes passés &amp; en cours'!C11-'B.3.Comptes passés &amp; en cours'!I15)</f>
        <v>ok</v>
      </c>
      <c r="D29" s="1127" t="str">
        <f>IF('B.3.Comptes passés &amp; en cours'!D11-'B.3.Comptes passés &amp; en cours'!J15=D26, "ok", D26-('B.3.Comptes passés &amp; en cours'!D11-'B.3.Comptes passés &amp; en cours'!J15))</f>
        <v>ok</v>
      </c>
      <c r="E29" s="1127" t="str">
        <f>IF('B.3.Comptes passés &amp; en cours'!E11-'B.3.Comptes passés &amp; en cours'!K15=E26, "ok",E26-('B.3.Comptes passés &amp; en cours'!E11-'B.3.Comptes passés &amp; en cours'!K15))</f>
        <v>ok</v>
      </c>
      <c r="F29" s="740"/>
      <c r="G29" s="339"/>
      <c r="H29" s="339"/>
      <c r="I29" s="25"/>
      <c r="J29" s="300"/>
      <c r="K29" s="300"/>
      <c r="L29" s="300"/>
      <c r="M29" s="300"/>
      <c r="N29" s="300"/>
      <c r="O29" s="300"/>
      <c r="P29" s="300"/>
    </row>
    <row r="30" spans="1:16" ht="23.25" customHeight="1" x14ac:dyDescent="0.25">
      <c r="A30" s="25"/>
      <c r="B30" s="300"/>
      <c r="C30" s="300"/>
      <c r="D30" s="300"/>
      <c r="E30" s="300"/>
      <c r="F30" s="300"/>
      <c r="G30" s="300"/>
      <c r="H30" s="300"/>
      <c r="I30" s="25"/>
    </row>
    <row r="31" spans="1:16" ht="23.25" customHeight="1" thickBot="1" x14ac:dyDescent="0.3">
      <c r="A31" s="25"/>
      <c r="B31" s="2084" t="s">
        <v>136</v>
      </c>
      <c r="C31" s="2085"/>
      <c r="D31" s="2085"/>
      <c r="E31" s="2085"/>
      <c r="F31" s="2085"/>
      <c r="G31" s="2085"/>
      <c r="H31" s="2086"/>
      <c r="I31" s="25"/>
      <c r="J31" s="2084" t="s">
        <v>41</v>
      </c>
      <c r="K31" s="2085"/>
      <c r="L31" s="2085"/>
      <c r="M31" s="2085"/>
      <c r="N31" s="2085"/>
      <c r="O31" s="2085"/>
      <c r="P31" s="2086"/>
    </row>
    <row r="32" spans="1:16" ht="12.75" customHeight="1" thickTop="1" x14ac:dyDescent="0.25">
      <c r="A32" s="25"/>
      <c r="B32" s="300"/>
      <c r="C32" s="300"/>
      <c r="D32" s="300"/>
      <c r="E32" s="300"/>
      <c r="F32" s="300"/>
      <c r="G32" s="300"/>
      <c r="H32" s="300"/>
      <c r="I32" s="25"/>
    </row>
    <row r="33" spans="1:18" ht="23.25" customHeight="1" x14ac:dyDescent="0.25">
      <c r="A33" s="25"/>
      <c r="B33" s="300"/>
      <c r="C33" s="300"/>
      <c r="D33" s="300"/>
      <c r="E33" s="300"/>
      <c r="F33" s="300"/>
      <c r="G33" s="300"/>
      <c r="H33" s="300"/>
      <c r="I33" s="25"/>
      <c r="J33" s="300"/>
      <c r="K33" s="300"/>
      <c r="L33" s="300"/>
      <c r="M33" s="300"/>
      <c r="N33" s="300"/>
      <c r="O33" s="300"/>
      <c r="P33" s="300"/>
    </row>
    <row r="34" spans="1:18" ht="23.25" customHeight="1" x14ac:dyDescent="0.25">
      <c r="A34" s="25"/>
      <c r="B34" s="300"/>
      <c r="C34" s="300"/>
      <c r="D34" s="300"/>
      <c r="E34" s="300"/>
      <c r="F34" s="300"/>
      <c r="G34" s="300"/>
      <c r="H34" s="300"/>
      <c r="I34" s="25"/>
      <c r="J34" s="300"/>
      <c r="K34" s="300"/>
      <c r="L34" s="300"/>
      <c r="M34" s="300"/>
      <c r="N34" s="300"/>
      <c r="O34" s="300"/>
      <c r="P34" s="300"/>
    </row>
    <row r="35" spans="1:18" ht="23.25" customHeight="1" x14ac:dyDescent="0.25">
      <c r="A35" s="25"/>
      <c r="B35" s="300"/>
      <c r="C35" s="300"/>
      <c r="D35" s="300"/>
      <c r="E35" s="300"/>
      <c r="F35" s="300"/>
      <c r="G35" s="300"/>
      <c r="H35" s="300"/>
      <c r="I35" s="25"/>
    </row>
    <row r="36" spans="1:18" ht="23.25" customHeight="1" x14ac:dyDescent="0.25">
      <c r="A36" s="25"/>
      <c r="B36" s="300"/>
      <c r="C36" s="300"/>
      <c r="D36" s="300"/>
      <c r="E36" s="300"/>
      <c r="F36" s="300"/>
      <c r="G36" s="300"/>
      <c r="H36" s="300"/>
      <c r="I36" s="25"/>
    </row>
    <row r="37" spans="1:18" ht="23.25" customHeight="1" x14ac:dyDescent="0.25">
      <c r="A37" s="25"/>
      <c r="I37" s="25"/>
    </row>
    <row r="44" spans="1:18" ht="23.25" customHeight="1" x14ac:dyDescent="0.25">
      <c r="Q44" s="649"/>
      <c r="R44" s="649"/>
    </row>
    <row r="45" spans="1:18" ht="27.75" customHeight="1" x14ac:dyDescent="0.25">
      <c r="Q45" s="2273"/>
      <c r="R45" s="2273"/>
    </row>
    <row r="46" spans="1:18" ht="27.75" customHeight="1" x14ac:dyDescent="0.25">
      <c r="Q46" s="1039"/>
      <c r="R46" s="1039"/>
    </row>
    <row r="47" spans="1:18" ht="23.25" customHeight="1" thickBot="1" x14ac:dyDescent="0.3">
      <c r="A47" s="25"/>
      <c r="B47" s="2084" t="s">
        <v>310</v>
      </c>
      <c r="C47" s="2085"/>
      <c r="D47" s="2085"/>
      <c r="E47" s="2085"/>
      <c r="F47" s="2085"/>
      <c r="G47" s="2085"/>
      <c r="H47" s="2085"/>
      <c r="I47" s="2085"/>
      <c r="J47" s="2085"/>
      <c r="K47" s="2085"/>
      <c r="L47" s="2085"/>
      <c r="M47" s="2085"/>
      <c r="N47" s="2085"/>
      <c r="O47" s="2085"/>
      <c r="P47" s="2253"/>
    </row>
    <row r="48" spans="1:18" ht="12.75" customHeight="1" thickTop="1" x14ac:dyDescent="0.25">
      <c r="L48" s="187"/>
      <c r="M48" s="187"/>
      <c r="N48" s="187"/>
    </row>
    <row r="49" spans="1:18" ht="23.25" customHeight="1" x14ac:dyDescent="0.25">
      <c r="B49" s="82"/>
      <c r="C49" s="271">
        <f>D49-1</f>
        <v>2014</v>
      </c>
      <c r="D49" s="283">
        <f>E49-1</f>
        <v>2015</v>
      </c>
      <c r="E49" s="1782">
        <f>'A.1.Présentation structure'!C22</f>
        <v>2016</v>
      </c>
      <c r="F49" s="768">
        <f>E49+1</f>
        <v>2017</v>
      </c>
      <c r="G49" s="768">
        <f>F49+1</f>
        <v>2018</v>
      </c>
      <c r="H49" s="741">
        <f>G49+1</f>
        <v>2019</v>
      </c>
      <c r="J49" s="293"/>
      <c r="K49" s="713">
        <f>L49-1</f>
        <v>2014</v>
      </c>
      <c r="L49" s="714">
        <f>M49-1</f>
        <v>2015</v>
      </c>
      <c r="M49" s="715">
        <f>'A.1.Présentation structure'!C22</f>
        <v>2016</v>
      </c>
      <c r="N49" s="767">
        <f>M49+1</f>
        <v>2017</v>
      </c>
      <c r="O49" s="768">
        <f>N49+1</f>
        <v>2018</v>
      </c>
      <c r="P49" s="741">
        <f>O49+1</f>
        <v>2019</v>
      </c>
    </row>
    <row r="50" spans="1:18" ht="23.25" customHeight="1" x14ac:dyDescent="0.25">
      <c r="B50" s="273" t="str">
        <f>B23</f>
        <v>Fonds Propres</v>
      </c>
      <c r="C50" s="277" t="str">
        <f>IF(C23=0, "-", IF(C23&gt;0,"Ok","Alerte"))</f>
        <v>-</v>
      </c>
      <c r="D50" s="308" t="str">
        <f>IF(D23=0,"-",IF(D23&lt;0,"Alerte",IF(('B.3.Comptes passés &amp; en cours'!J8/'B.3.Comptes passés &amp; en cours'!I8)*100&lt;70,"Alerte","Ok")))</f>
        <v>-</v>
      </c>
      <c r="E50" s="1783" t="str">
        <f>IF(E23=0,"-", IF(E23&lt;0,"Alerte",IF(('B.3.Comptes passés &amp; en cours'!K8/'B.3.Comptes passés &amp; en cours'!J8)*100&lt;70,"Alerte","Ok")))</f>
        <v>-</v>
      </c>
      <c r="F50" s="1787" t="str">
        <f>IF(F23=0, "-", IF(F23&lt;0,"Alerte",IF((F23/E23)*100&lt;70,"Alerte","Ok")))</f>
        <v>-</v>
      </c>
      <c r="G50" s="1787" t="str">
        <f>IF(G23=0, "-", IF(G23&lt;0,"Alerte",IF((G23/F23)*100&lt;70,"Alerte","Ok")))</f>
        <v>-</v>
      </c>
      <c r="H50" s="309" t="str">
        <f>IF(H23=0, "-", IF(H23&lt;0,"Alerte",IF((H23/G23)*100&lt;70,"Alerte","Ok")))</f>
        <v>-</v>
      </c>
      <c r="J50" s="274" t="s">
        <v>23</v>
      </c>
      <c r="K50" s="720"/>
      <c r="L50" s="721" t="str">
        <f>IF(('B.3.Comptes passés &amp; en cours'!J33&lt;'B.3.Comptes passés &amp; en cours'!I33),"Alerte","Ok")</f>
        <v>Ok</v>
      </c>
      <c r="M50" s="721" t="str">
        <f>IF(('B.3.Comptes passés &amp; en cours'!K33&lt;'B.3.Comptes passés &amp; en cours'!J33),"Alerte","Ok")</f>
        <v>Ok</v>
      </c>
      <c r="N50" s="722" t="str">
        <f>IF(('B.3.Comptes passés &amp; en cours'!G59&lt;'B.3.Comptes passés &amp; en cours'!K33),"Alerte","Ok")</f>
        <v>Ok</v>
      </c>
      <c r="O50" s="723" t="str">
        <f>IF(('7.Budgets prévisionnels'!F16&lt;'7.Budgets prévisionnels'!E16),"Alerte","Ok")</f>
        <v>Ok</v>
      </c>
      <c r="P50" s="724" t="str">
        <f>IF(('7.Budgets prévisionnels'!G16&lt;'7.Budgets prévisionnels'!F16),"Alerte","Ok")</f>
        <v>Ok</v>
      </c>
    </row>
    <row r="51" spans="1:18" ht="23.25" customHeight="1" x14ac:dyDescent="0.25">
      <c r="B51" s="43" t="str">
        <f>B24</f>
        <v>Fond de Roulement</v>
      </c>
      <c r="C51" s="303" t="str">
        <f>IF(C24&lt;(('B.3.Comptes passés &amp; en cours'!C27+'B.3.Comptes passés &amp; en cours'!C29)/6),"Alerte","Ok")</f>
        <v>Ok</v>
      </c>
      <c r="D51" s="310" t="str">
        <f>IF(D24&lt;(('B.3.Comptes passés &amp; en cours'!D27+'B.3.Comptes passés &amp; en cours'!D29)/6),"Alerte","Ok")</f>
        <v>Ok</v>
      </c>
      <c r="E51" s="1783" t="str">
        <f>IF(E24&lt;(('B.3.Comptes passés &amp; en cours'!E27+'B.3.Comptes passés &amp; en cours'!E29)/6),"Alerte","Ok")</f>
        <v>Ok</v>
      </c>
      <c r="F51" s="1787" t="str">
        <f>IF(F24&lt;(('B.3.Comptes passés &amp; en cours'!G68+'B.3.Comptes passés &amp; en cours'!G70)/6),"Alerte","Ok")</f>
        <v>Ok</v>
      </c>
      <c r="G51" s="1787" t="str">
        <f>IF(G24&lt;(('7.Budgets prévisionnels'!F25+'7.Budgets prévisionnels'!F27)/6),"Alerte","Ok")</f>
        <v>Ok</v>
      </c>
      <c r="H51" s="309" t="str">
        <f>IF(H24&lt;(('7.Budgets prévisionnels'!G25+'7.Budgets prévisionnels'!G27)/6),"Alerte","Ok")</f>
        <v>Ok</v>
      </c>
      <c r="J51" s="725" t="s">
        <v>260</v>
      </c>
      <c r="K51" s="726" t="str">
        <f>IF((K23&lt;0),"Alerte","Ok")</f>
        <v>Ok</v>
      </c>
      <c r="L51" s="721" t="str">
        <f t="shared" ref="L51:P52" si="1">IF(L23&lt;0,"Alerte", IF((L23&lt;K23),"Alerte","Ok"))</f>
        <v>Ok</v>
      </c>
      <c r="M51" s="721" t="str">
        <f t="shared" si="1"/>
        <v>Ok</v>
      </c>
      <c r="N51" s="722" t="str">
        <f t="shared" si="1"/>
        <v>Ok</v>
      </c>
      <c r="O51" s="723" t="str">
        <f t="shared" si="1"/>
        <v>Ok</v>
      </c>
      <c r="P51" s="727" t="str">
        <f t="shared" si="1"/>
        <v>Ok</v>
      </c>
    </row>
    <row r="52" spans="1:18" ht="23.25" customHeight="1" thickBot="1" x14ac:dyDescent="0.3">
      <c r="B52" s="284" t="s">
        <v>21</v>
      </c>
      <c r="C52" s="311"/>
      <c r="D52" s="312" t="str">
        <f>IF((D27=C27), "-", IF((D27&lt;C27),"Alerte","Ok"))</f>
        <v>-</v>
      </c>
      <c r="E52" s="1784" t="str">
        <f>IF((E27=D27), "-",IF((E27&lt;D27),"Alerte","Ok"))</f>
        <v>-</v>
      </c>
      <c r="F52" s="1788" t="str">
        <f>IF((F27=E27), "-",IF((F27&lt;E27),"Alerte","Ok"))</f>
        <v>-</v>
      </c>
      <c r="G52" s="1788" t="str">
        <f>IF((G27=F27), "-", IF((G27&lt;F27),"Alerte","Ok"))</f>
        <v>-</v>
      </c>
      <c r="H52" s="313" t="str">
        <f>IF((H27=G27), "-", IF((H27&lt;G27),"Alerte","Ok"))</f>
        <v>-</v>
      </c>
      <c r="J52" s="719" t="s">
        <v>123</v>
      </c>
      <c r="K52" s="320" t="str">
        <f>IF(K24&gt;0,"Ok","Alerte")</f>
        <v>Alerte</v>
      </c>
      <c r="L52" s="321" t="str">
        <f t="shared" si="1"/>
        <v>Ok</v>
      </c>
      <c r="M52" s="321" t="str">
        <f t="shared" si="1"/>
        <v>Ok</v>
      </c>
      <c r="N52" s="717" t="str">
        <f t="shared" si="1"/>
        <v>Ok</v>
      </c>
      <c r="O52" s="718" t="str">
        <f t="shared" si="1"/>
        <v>Ok</v>
      </c>
      <c r="P52" s="716" t="str">
        <f t="shared" si="1"/>
        <v>Ok</v>
      </c>
    </row>
    <row r="53" spans="1:18" ht="23.25" customHeight="1" thickTop="1" x14ac:dyDescent="0.25">
      <c r="B53" s="285" t="s">
        <v>22</v>
      </c>
      <c r="C53" s="314" t="str">
        <f t="shared" ref="C53:H53" si="2">IF((C25&gt;C24),"Alerte", "Ok")</f>
        <v>Ok</v>
      </c>
      <c r="D53" s="315" t="str">
        <f t="shared" si="2"/>
        <v>Ok</v>
      </c>
      <c r="E53" s="1785" t="str">
        <f t="shared" si="2"/>
        <v>Ok</v>
      </c>
      <c r="F53" s="1789" t="str">
        <f t="shared" si="2"/>
        <v>Ok</v>
      </c>
      <c r="G53" s="1789" t="str">
        <f t="shared" si="2"/>
        <v>Ok</v>
      </c>
      <c r="H53" s="316" t="str">
        <f t="shared" si="2"/>
        <v>Ok</v>
      </c>
      <c r="J53" s="82"/>
      <c r="K53" s="294"/>
      <c r="L53" s="294"/>
      <c r="M53" s="294"/>
      <c r="N53" s="294"/>
    </row>
    <row r="54" spans="1:18" ht="23.25" customHeight="1" thickBot="1" x14ac:dyDescent="0.3">
      <c r="B54" s="286" t="str">
        <f>B26</f>
        <v>Trésorerie Nette</v>
      </c>
      <c r="C54" s="317" t="str">
        <f>IF((C26&lt;0),"Alerte","Ok")</f>
        <v>Ok</v>
      </c>
      <c r="D54" s="318" t="str">
        <f>IF(D26&lt;0,"Alerte", IF((D26&lt;C26),"Alerte","Ok"))</f>
        <v>Ok</v>
      </c>
      <c r="E54" s="1786" t="str">
        <f>IF(E26&lt;0,"Alerte", IF((E26&lt;D26),"Alerte","Ok"))</f>
        <v>Ok</v>
      </c>
      <c r="F54" s="1790" t="str">
        <f>IF(F26&lt;0,"Alerte", IF((F26&lt;E26),"Alerte","Ok"))</f>
        <v>Ok</v>
      </c>
      <c r="G54" s="1790" t="str">
        <f>IF(G26&lt;0,"Alerte", IF((G26&lt;F26),"Alerte","Ok"))</f>
        <v>Ok</v>
      </c>
      <c r="H54" s="319" t="str">
        <f>IF(H26&lt;0,"Alerte", IF((H26&lt;G26),"Alerte","Ok"))</f>
        <v>Ok</v>
      </c>
      <c r="J54" s="295"/>
      <c r="K54" s="296"/>
      <c r="L54" s="296"/>
      <c r="M54" s="296"/>
      <c r="N54" s="296"/>
    </row>
    <row r="55" spans="1:18" ht="23.25" customHeight="1" thickTop="1" x14ac:dyDescent="0.25">
      <c r="B55" s="82"/>
      <c r="C55" s="287"/>
      <c r="D55" s="287"/>
      <c r="E55" s="288"/>
      <c r="F55" s="288"/>
      <c r="G55" s="288"/>
      <c r="H55" s="288"/>
      <c r="J55" s="15"/>
      <c r="K55" s="297"/>
      <c r="L55" s="297"/>
      <c r="M55" s="297"/>
      <c r="N55" s="297"/>
    </row>
    <row r="56" spans="1:18" ht="23.25" customHeight="1" thickBot="1" x14ac:dyDescent="0.3">
      <c r="B56" s="289" t="s">
        <v>137</v>
      </c>
      <c r="C56" s="290" t="str">
        <f t="shared" ref="C56:H56" si="3">IF(COUNTIF(C50:C54,"Alerte")=0,"-",COUNTIF(C50:C54,"Alerte")&amp;" alerte(s)")</f>
        <v>-</v>
      </c>
      <c r="D56" s="291" t="str">
        <f t="shared" si="3"/>
        <v>-</v>
      </c>
      <c r="E56" s="292" t="str">
        <f t="shared" si="3"/>
        <v>-</v>
      </c>
      <c r="F56" s="290" t="str">
        <f t="shared" si="3"/>
        <v>-</v>
      </c>
      <c r="G56" s="291" t="str">
        <f t="shared" si="3"/>
        <v>-</v>
      </c>
      <c r="H56" s="292" t="str">
        <f t="shared" si="3"/>
        <v>-</v>
      </c>
      <c r="J56" s="289" t="s">
        <v>145</v>
      </c>
      <c r="K56" s="298" t="str">
        <f t="shared" ref="K56:P56" si="4">IF(COUNTIF(K50:K52,"Alerte")=0,"-",COUNTIF(K50:K52,"Alerte")&amp;" alerte(s)")</f>
        <v>1 alerte(s)</v>
      </c>
      <c r="L56" s="299" t="str">
        <f t="shared" si="4"/>
        <v>-</v>
      </c>
      <c r="M56" s="299" t="str">
        <f t="shared" si="4"/>
        <v>-</v>
      </c>
      <c r="N56" s="298" t="str">
        <f t="shared" si="4"/>
        <v>-</v>
      </c>
      <c r="O56" s="299" t="str">
        <f t="shared" si="4"/>
        <v>-</v>
      </c>
      <c r="P56" s="1638" t="str">
        <f t="shared" si="4"/>
        <v>-</v>
      </c>
    </row>
    <row r="57" spans="1:18" ht="27.75" customHeight="1" thickTop="1" x14ac:dyDescent="0.25">
      <c r="Q57" s="1039"/>
      <c r="R57" s="1039"/>
    </row>
    <row r="58" spans="1:18" ht="23.25" customHeight="1" x14ac:dyDescent="0.25">
      <c r="B58" s="1049"/>
      <c r="C58" s="1050"/>
      <c r="D58" s="1050"/>
      <c r="E58" s="1050"/>
      <c r="F58" s="1051"/>
      <c r="G58" s="1050"/>
      <c r="H58" s="1050"/>
      <c r="I58" s="710"/>
      <c r="J58" s="710"/>
      <c r="K58" s="710"/>
      <c r="L58" s="710"/>
      <c r="M58" s="710"/>
      <c r="N58" s="710"/>
      <c r="O58" s="710"/>
      <c r="P58" s="710"/>
      <c r="Q58" s="650"/>
      <c r="R58" s="650"/>
    </row>
    <row r="59" spans="1:18" ht="23.25" customHeight="1" thickBot="1" x14ac:dyDescent="0.3">
      <c r="A59" s="25"/>
      <c r="B59" s="2254" t="s">
        <v>443</v>
      </c>
      <c r="C59" s="2255"/>
      <c r="D59" s="2255"/>
      <c r="E59" s="2255"/>
      <c r="F59" s="2255"/>
      <c r="G59" s="2255"/>
      <c r="H59" s="2255"/>
      <c r="I59" s="2255"/>
      <c r="J59" s="2255"/>
      <c r="K59" s="2255"/>
      <c r="L59" s="2255"/>
      <c r="M59" s="2255"/>
      <c r="N59" s="2255"/>
      <c r="O59" s="2255"/>
      <c r="P59" s="2256"/>
    </row>
    <row r="60" spans="1:18" ht="13.5" customHeight="1" thickTop="1" x14ac:dyDescent="0.25">
      <c r="A60" s="25"/>
      <c r="B60" s="300"/>
      <c r="C60" s="300"/>
      <c r="D60" s="300"/>
      <c r="E60" s="300"/>
      <c r="F60" s="300"/>
      <c r="G60" s="300"/>
      <c r="H60" s="300"/>
      <c r="J60" s="300"/>
      <c r="K60" s="300"/>
      <c r="L60" s="300"/>
      <c r="M60" s="300"/>
      <c r="N60" s="300"/>
      <c r="O60" s="25"/>
    </row>
    <row r="61" spans="1:18" ht="23.25" customHeight="1" x14ac:dyDescent="0.25">
      <c r="B61" s="25"/>
      <c r="I61" s="25"/>
      <c r="J61" s="25"/>
    </row>
    <row r="62" spans="1:18" ht="23.25" customHeight="1" x14ac:dyDescent="0.25">
      <c r="A62" s="25"/>
      <c r="B62" s="25"/>
      <c r="C62" s="25"/>
      <c r="D62" s="25"/>
      <c r="E62" s="25"/>
      <c r="F62" s="25"/>
      <c r="G62" s="25"/>
      <c r="H62" s="25"/>
    </row>
    <row r="63" spans="1:18" ht="23.25" customHeight="1" x14ac:dyDescent="0.25">
      <c r="A63" s="25"/>
      <c r="B63" s="25"/>
      <c r="C63" s="25"/>
      <c r="D63" s="25"/>
      <c r="E63" s="25"/>
      <c r="F63" s="25"/>
      <c r="G63" s="25"/>
      <c r="H63" s="25"/>
    </row>
    <row r="64" spans="1:18" ht="23.25" customHeight="1" x14ac:dyDescent="0.25">
      <c r="A64" s="25"/>
      <c r="B64" s="25"/>
      <c r="C64" s="25"/>
      <c r="D64" s="25"/>
      <c r="E64" s="25"/>
      <c r="F64" s="25"/>
      <c r="G64" s="25"/>
      <c r="H64" s="25"/>
    </row>
    <row r="65" spans="1:17" ht="23.25" customHeight="1" x14ac:dyDescent="0.25">
      <c r="A65" s="25"/>
      <c r="B65" s="25"/>
      <c r="C65" s="25"/>
      <c r="D65" s="25"/>
      <c r="E65" s="25"/>
      <c r="F65" s="25"/>
      <c r="G65" s="25"/>
      <c r="H65" s="25"/>
    </row>
    <row r="66" spans="1:17" ht="23.25" customHeight="1" x14ac:dyDescent="0.25">
      <c r="A66" s="25"/>
      <c r="B66" s="25"/>
      <c r="C66" s="25"/>
      <c r="D66" s="25"/>
      <c r="E66" s="25"/>
      <c r="F66" s="25"/>
      <c r="G66" s="25"/>
      <c r="H66" s="25"/>
    </row>
    <row r="67" spans="1:17" ht="23.25" customHeight="1" x14ac:dyDescent="0.25">
      <c r="A67" s="25"/>
      <c r="B67" s="25"/>
      <c r="C67" s="25"/>
      <c r="D67" s="25"/>
      <c r="E67" s="25"/>
      <c r="F67" s="25"/>
      <c r="G67" s="25"/>
      <c r="H67" s="25"/>
    </row>
    <row r="68" spans="1:17" ht="23.25" customHeight="1" x14ac:dyDescent="0.25">
      <c r="A68" s="25"/>
      <c r="B68" s="25"/>
      <c r="C68" s="25"/>
      <c r="D68" s="25"/>
      <c r="E68" s="25"/>
      <c r="F68" s="25"/>
      <c r="G68" s="25"/>
      <c r="H68" s="25"/>
    </row>
    <row r="69" spans="1:17" ht="23.25" customHeight="1" x14ac:dyDescent="0.25">
      <c r="A69" s="25"/>
      <c r="B69" s="25"/>
      <c r="C69" s="25"/>
      <c r="D69" s="25"/>
      <c r="E69" s="25"/>
      <c r="F69" s="25"/>
      <c r="G69" s="25"/>
      <c r="H69" s="25"/>
    </row>
    <row r="70" spans="1:17" ht="23.25" customHeight="1" x14ac:dyDescent="0.25">
      <c r="A70" s="25"/>
      <c r="B70" s="25"/>
      <c r="C70" s="25"/>
      <c r="D70" s="25"/>
      <c r="E70" s="25"/>
      <c r="F70" s="25"/>
      <c r="G70" s="25"/>
      <c r="H70" s="25"/>
    </row>
    <row r="71" spans="1:17" ht="23.25" customHeight="1" x14ac:dyDescent="0.25">
      <c r="A71" s="25"/>
      <c r="B71" s="25"/>
      <c r="C71" s="25"/>
      <c r="D71" s="25"/>
      <c r="E71" s="25"/>
      <c r="F71" s="25"/>
      <c r="G71" s="25"/>
      <c r="H71" s="25"/>
    </row>
    <row r="72" spans="1:17" ht="23.25" customHeight="1" x14ac:dyDescent="0.25">
      <c r="A72" s="25"/>
      <c r="B72" s="25"/>
      <c r="C72" s="25"/>
      <c r="D72" s="25"/>
      <c r="E72" s="25"/>
      <c r="F72" s="25"/>
      <c r="G72" s="25"/>
      <c r="H72" s="25"/>
    </row>
    <row r="73" spans="1:17" ht="23.25" customHeight="1" x14ac:dyDescent="0.25">
      <c r="A73" s="25"/>
      <c r="B73" s="25"/>
      <c r="C73" s="25"/>
      <c r="D73" s="25"/>
      <c r="E73" s="25"/>
      <c r="F73" s="25"/>
      <c r="G73" s="25"/>
      <c r="H73" s="25"/>
    </row>
    <row r="74" spans="1:17" ht="33.75" customHeight="1" x14ac:dyDescent="0.25">
      <c r="A74" s="25"/>
      <c r="B74" s="25"/>
      <c r="C74" s="25"/>
      <c r="D74" s="25"/>
      <c r="E74" s="25"/>
      <c r="F74" s="25"/>
      <c r="G74" s="25"/>
      <c r="H74" s="25"/>
    </row>
    <row r="75" spans="1:17" ht="59.25" customHeight="1" x14ac:dyDescent="0.25">
      <c r="A75" s="25"/>
      <c r="B75" s="2248" t="s">
        <v>500</v>
      </c>
      <c r="C75" s="2248"/>
      <c r="D75" s="2248"/>
      <c r="E75" s="2248"/>
      <c r="F75" s="2248"/>
      <c r="G75" s="2248"/>
      <c r="H75" s="2248"/>
      <c r="I75" s="2248"/>
      <c r="J75" s="2248" t="s">
        <v>516</v>
      </c>
      <c r="K75" s="2248"/>
      <c r="L75" s="2248"/>
      <c r="M75" s="2248"/>
      <c r="N75" s="2248"/>
      <c r="O75" s="2248"/>
      <c r="P75" s="2248"/>
      <c r="Q75" s="1634"/>
    </row>
    <row r="76" spans="1:17" ht="23.25" customHeight="1" x14ac:dyDescent="0.25">
      <c r="B76" s="710"/>
      <c r="C76" s="710"/>
      <c r="D76" s="710"/>
      <c r="E76" s="710"/>
      <c r="F76" s="710"/>
      <c r="G76" s="710"/>
      <c r="H76" s="710"/>
      <c r="I76" s="710"/>
      <c r="J76" s="710"/>
      <c r="K76" s="710"/>
      <c r="L76" s="710"/>
      <c r="M76" s="710"/>
      <c r="N76" s="710"/>
      <c r="O76" s="710"/>
      <c r="P76" s="710"/>
    </row>
    <row r="77" spans="1:17" ht="23.25" customHeight="1" x14ac:dyDescent="0.25">
      <c r="B77" s="2249" t="s">
        <v>311</v>
      </c>
      <c r="C77" s="2250"/>
      <c r="D77" s="2250"/>
      <c r="E77" s="2250"/>
      <c r="F77" s="2250"/>
      <c r="G77" s="2250"/>
      <c r="H77" s="2250"/>
      <c r="I77" s="2250"/>
      <c r="J77" s="2250"/>
      <c r="K77" s="2250"/>
      <c r="L77" s="2250"/>
      <c r="M77" s="2250"/>
      <c r="N77" s="2250"/>
      <c r="O77" s="2250"/>
      <c r="P77" s="2251"/>
    </row>
    <row r="78" spans="1:17" ht="23.25" customHeight="1" x14ac:dyDescent="0.25">
      <c r="B78" s="2021"/>
      <c r="C78" s="2022"/>
      <c r="D78" s="2022"/>
      <c r="E78" s="2022"/>
      <c r="F78" s="2022"/>
      <c r="G78" s="2022"/>
      <c r="H78" s="2022"/>
      <c r="I78" s="2022"/>
      <c r="J78" s="2022"/>
      <c r="K78" s="2022"/>
      <c r="L78" s="2022"/>
      <c r="M78" s="2022"/>
      <c r="N78" s="2022"/>
      <c r="O78" s="2022"/>
      <c r="P78" s="2111"/>
    </row>
    <row r="79" spans="1:17" ht="23.25" customHeight="1" x14ac:dyDescent="0.25">
      <c r="B79" s="2021"/>
      <c r="C79" s="2022"/>
      <c r="D79" s="2022"/>
      <c r="E79" s="2022"/>
      <c r="F79" s="2022"/>
      <c r="G79" s="2022"/>
      <c r="H79" s="2022"/>
      <c r="I79" s="2022"/>
      <c r="J79" s="2022"/>
      <c r="K79" s="2022"/>
      <c r="L79" s="2022"/>
      <c r="M79" s="2022"/>
      <c r="N79" s="2022"/>
      <c r="O79" s="2022"/>
      <c r="P79" s="2111"/>
    </row>
    <row r="80" spans="1:17" ht="23.25" customHeight="1" x14ac:dyDescent="0.25">
      <c r="B80" s="2021"/>
      <c r="C80" s="2022"/>
      <c r="D80" s="2022"/>
      <c r="E80" s="2022"/>
      <c r="F80" s="2022"/>
      <c r="G80" s="2022"/>
      <c r="H80" s="2022"/>
      <c r="I80" s="2022"/>
      <c r="J80" s="2022"/>
      <c r="K80" s="2022"/>
      <c r="L80" s="2022"/>
      <c r="M80" s="2022"/>
      <c r="N80" s="2022"/>
      <c r="O80" s="2022"/>
      <c r="P80" s="2111"/>
    </row>
    <row r="81" spans="2:16" ht="23.25" customHeight="1" x14ac:dyDescent="0.25">
      <c r="B81" s="2021"/>
      <c r="C81" s="2022"/>
      <c r="D81" s="2022"/>
      <c r="E81" s="2022"/>
      <c r="F81" s="2022"/>
      <c r="G81" s="2022"/>
      <c r="H81" s="2022"/>
      <c r="I81" s="2022"/>
      <c r="J81" s="2022"/>
      <c r="K81" s="2022"/>
      <c r="L81" s="2022"/>
      <c r="M81" s="2022"/>
      <c r="N81" s="2022"/>
      <c r="O81" s="2022"/>
      <c r="P81" s="2111"/>
    </row>
    <row r="82" spans="2:16" ht="23.25" customHeight="1" x14ac:dyDescent="0.25">
      <c r="B82" s="2021"/>
      <c r="C82" s="2022"/>
      <c r="D82" s="2022"/>
      <c r="E82" s="2022"/>
      <c r="F82" s="2022"/>
      <c r="G82" s="2022"/>
      <c r="H82" s="2022"/>
      <c r="I82" s="2022"/>
      <c r="J82" s="2022"/>
      <c r="K82" s="2022"/>
      <c r="L82" s="2022"/>
      <c r="M82" s="2022"/>
      <c r="N82" s="2022"/>
      <c r="O82" s="2022"/>
      <c r="P82" s="2111"/>
    </row>
    <row r="83" spans="2:16" ht="23.25" customHeight="1" x14ac:dyDescent="0.25">
      <c r="B83" s="2021"/>
      <c r="C83" s="2022"/>
      <c r="D83" s="2022"/>
      <c r="E83" s="2022"/>
      <c r="F83" s="2022"/>
      <c r="G83" s="2022"/>
      <c r="H83" s="2022"/>
      <c r="I83" s="2022"/>
      <c r="J83" s="2022"/>
      <c r="K83" s="2022"/>
      <c r="L83" s="2022"/>
      <c r="M83" s="2022"/>
      <c r="N83" s="2022"/>
      <c r="O83" s="2022"/>
      <c r="P83" s="2111"/>
    </row>
    <row r="84" spans="2:16" ht="23.25" customHeight="1" x14ac:dyDescent="0.25">
      <c r="B84" s="2021"/>
      <c r="C84" s="2022"/>
      <c r="D84" s="2022"/>
      <c r="E84" s="2022"/>
      <c r="F84" s="2022"/>
      <c r="G84" s="2022"/>
      <c r="H84" s="2022"/>
      <c r="I84" s="2022"/>
      <c r="J84" s="2022"/>
      <c r="K84" s="2022"/>
      <c r="L84" s="2022"/>
      <c r="M84" s="2022"/>
      <c r="N84" s="2022"/>
      <c r="O84" s="2022"/>
      <c r="P84" s="2111"/>
    </row>
    <row r="85" spans="2:16" ht="23.25" customHeight="1" thickBot="1" x14ac:dyDescent="0.3">
      <c r="B85" s="2024"/>
      <c r="C85" s="2025"/>
      <c r="D85" s="2025"/>
      <c r="E85" s="2025"/>
      <c r="F85" s="2025"/>
      <c r="G85" s="2025"/>
      <c r="H85" s="2025"/>
      <c r="I85" s="2025"/>
      <c r="J85" s="2025"/>
      <c r="K85" s="2025"/>
      <c r="L85" s="2025"/>
      <c r="M85" s="2025"/>
      <c r="N85" s="2025"/>
      <c r="O85" s="2025"/>
      <c r="P85" s="2252"/>
    </row>
    <row r="86" spans="2:16" ht="23.25" customHeight="1" thickTop="1" x14ac:dyDescent="0.25"/>
  </sheetData>
  <sheetProtection password="CC57" sheet="1" objects="1" scenarios="1"/>
  <protectedRanges>
    <protectedRange sqref="B78:P85" name="Plage2"/>
  </protectedRanges>
  <mergeCells count="23">
    <mergeCell ref="Q45:R45"/>
    <mergeCell ref="O27:O28"/>
    <mergeCell ref="P27:P28"/>
    <mergeCell ref="B31:H31"/>
    <mergeCell ref="J31:P31"/>
    <mergeCell ref="B2:P2"/>
    <mergeCell ref="J27:J28"/>
    <mergeCell ref="K27:K28"/>
    <mergeCell ref="L27:L28"/>
    <mergeCell ref="M27:M28"/>
    <mergeCell ref="N27:N28"/>
    <mergeCell ref="B4:H4"/>
    <mergeCell ref="B6:H6"/>
    <mergeCell ref="J6:P6"/>
    <mergeCell ref="B20:H20"/>
    <mergeCell ref="J20:P20"/>
    <mergeCell ref="J4:P4"/>
    <mergeCell ref="B75:I75"/>
    <mergeCell ref="B77:P77"/>
    <mergeCell ref="B78:P85"/>
    <mergeCell ref="B47:P47"/>
    <mergeCell ref="B59:P59"/>
    <mergeCell ref="J75:P75"/>
  </mergeCells>
  <phoneticPr fontId="50" type="noConversion"/>
  <printOptions horizontalCentered="1"/>
  <pageMargins left="0.70866141732283472" right="0.70866141732283472" top="0.74803149606299213" bottom="0.74803149606299213" header="0.31496062992125984" footer="0.31496062992125984"/>
  <pageSetup paperSize="9" scale="41" orientation="portrait" r:id="rId1"/>
  <headerFooter>
    <oddHeader>&amp;R&amp;G</oddHeader>
  </headerFooter>
  <colBreaks count="1" manualBreakCount="1">
    <brk id="14" max="1048575" man="1"/>
  </colBreaks>
  <drawing r:id="rId2"/>
  <legacyDrawing r:id="rId3"/>
  <legacyDrawingHF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pageSetUpPr fitToPage="1"/>
  </sheetPr>
  <dimension ref="A1:P79"/>
  <sheetViews>
    <sheetView showGridLines="0" zoomScale="80" zoomScaleNormal="80" zoomScaleSheetLayoutView="70" workbookViewId="0">
      <selection activeCell="J26" sqref="J26"/>
    </sheetView>
  </sheetViews>
  <sheetFormatPr baseColWidth="10" defaultColWidth="10.85546875" defaultRowHeight="23.25" customHeight="1" x14ac:dyDescent="0.25"/>
  <cols>
    <col min="1" max="1" width="5.140625" style="185" customWidth="1"/>
    <col min="2" max="2" width="37.42578125" style="185" customWidth="1"/>
    <col min="3" max="4" width="20" style="185" customWidth="1"/>
    <col min="5" max="5" width="20.140625" style="185" customWidth="1"/>
    <col min="6" max="6" width="8.5703125" style="185" customWidth="1"/>
    <col min="7" max="7" width="40.140625" style="185" customWidth="1"/>
    <col min="8" max="10" width="20.140625" style="185" customWidth="1"/>
    <col min="11" max="16384" width="10.85546875" style="185"/>
  </cols>
  <sheetData>
    <row r="1" spans="1:16" ht="12.75" customHeight="1" x14ac:dyDescent="0.25">
      <c r="B1" s="187"/>
      <c r="C1" s="187"/>
      <c r="D1" s="187"/>
      <c r="E1" s="187"/>
      <c r="F1" s="187"/>
      <c r="G1" s="187"/>
      <c r="H1" s="187"/>
      <c r="I1" s="187"/>
      <c r="J1" s="187"/>
    </row>
    <row r="2" spans="1:16" ht="32.25" customHeight="1" thickBot="1" x14ac:dyDescent="0.3">
      <c r="A2" s="188"/>
      <c r="B2" s="2147" t="s">
        <v>331</v>
      </c>
      <c r="C2" s="2148"/>
      <c r="D2" s="2148"/>
      <c r="E2" s="2148"/>
      <c r="F2" s="2148"/>
      <c r="G2" s="2148"/>
      <c r="H2" s="2148"/>
      <c r="I2" s="2148"/>
      <c r="J2" s="2149"/>
    </row>
    <row r="3" spans="1:16" ht="23.25" customHeight="1" thickTop="1" x14ac:dyDescent="0.25">
      <c r="B3" s="1046"/>
      <c r="C3" s="1047"/>
      <c r="D3" s="1047"/>
      <c r="E3" s="1047"/>
      <c r="F3" s="7"/>
      <c r="G3" s="1047"/>
      <c r="H3" s="1047"/>
      <c r="I3" s="1047"/>
      <c r="J3" s="1048"/>
      <c r="K3" s="25"/>
      <c r="L3" s="25"/>
      <c r="M3" s="25"/>
      <c r="N3" s="25"/>
      <c r="O3" s="25"/>
      <c r="P3" s="25"/>
    </row>
    <row r="4" spans="1:16" ht="23.25" customHeight="1" thickBot="1" x14ac:dyDescent="0.3">
      <c r="A4" s="25"/>
      <c r="B4" s="2266" t="s">
        <v>441</v>
      </c>
      <c r="C4" s="2267"/>
      <c r="D4" s="2267"/>
      <c r="E4" s="2268"/>
      <c r="F4" s="25"/>
      <c r="G4" s="2272" t="s">
        <v>442</v>
      </c>
      <c r="H4" s="2267"/>
      <c r="I4" s="2267"/>
      <c r="J4" s="2268"/>
    </row>
    <row r="5" spans="1:16" ht="23.25" customHeight="1" thickTop="1" x14ac:dyDescent="0.25">
      <c r="A5" s="25"/>
      <c r="B5" s="300"/>
      <c r="C5" s="300"/>
      <c r="D5" s="300"/>
      <c r="E5" s="1043"/>
      <c r="F5" s="25"/>
      <c r="G5" s="300"/>
      <c r="H5" s="300"/>
      <c r="I5" s="300"/>
      <c r="J5" s="300"/>
    </row>
    <row r="6" spans="1:16" ht="23.25" customHeight="1" thickBot="1" x14ac:dyDescent="0.3">
      <c r="A6" s="25"/>
      <c r="B6" s="2269" t="s">
        <v>42</v>
      </c>
      <c r="C6" s="2270"/>
      <c r="D6" s="2270"/>
      <c r="E6" s="2270"/>
      <c r="F6" s="1044"/>
      <c r="G6" s="2269" t="s">
        <v>144</v>
      </c>
      <c r="H6" s="2270"/>
      <c r="I6" s="2270"/>
      <c r="J6" s="2271"/>
      <c r="K6" s="1045"/>
    </row>
    <row r="7" spans="1:16" ht="12.75" customHeight="1" thickTop="1" x14ac:dyDescent="0.25">
      <c r="A7" s="25"/>
      <c r="B7" s="300"/>
      <c r="C7" s="300"/>
      <c r="D7" s="300"/>
      <c r="E7" s="300"/>
      <c r="F7" s="25"/>
      <c r="G7" s="300"/>
      <c r="H7" s="300"/>
      <c r="I7" s="300"/>
      <c r="J7" s="300"/>
    </row>
    <row r="8" spans="1:16" ht="23.25" customHeight="1" x14ac:dyDescent="0.25">
      <c r="A8" s="25"/>
      <c r="B8" s="300"/>
      <c r="C8" s="300"/>
      <c r="D8" s="300"/>
      <c r="E8" s="300"/>
      <c r="F8" s="25"/>
      <c r="G8" s="300"/>
      <c r="H8" s="300"/>
      <c r="I8" s="300"/>
      <c r="J8" s="300"/>
    </row>
    <row r="9" spans="1:16" ht="23.25" customHeight="1" x14ac:dyDescent="0.25">
      <c r="A9" s="25"/>
      <c r="B9" s="300"/>
      <c r="C9" s="300"/>
      <c r="D9" s="300"/>
      <c r="E9" s="300"/>
      <c r="F9" s="25"/>
      <c r="G9" s="300"/>
      <c r="H9" s="300"/>
      <c r="I9" s="300"/>
      <c r="J9" s="300"/>
    </row>
    <row r="10" spans="1:16" ht="23.25" customHeight="1" x14ac:dyDescent="0.25">
      <c r="A10" s="25"/>
      <c r="B10" s="300"/>
      <c r="C10" s="300"/>
      <c r="D10" s="300"/>
      <c r="E10" s="300"/>
      <c r="F10" s="25"/>
      <c r="G10" s="300"/>
      <c r="H10" s="300"/>
      <c r="I10" s="300"/>
      <c r="J10" s="300"/>
    </row>
    <row r="11" spans="1:16" ht="23.25" customHeight="1" x14ac:dyDescent="0.25">
      <c r="A11" s="25"/>
      <c r="B11" s="300"/>
      <c r="C11" s="300"/>
      <c r="D11" s="300"/>
      <c r="E11" s="300"/>
      <c r="F11" s="25"/>
      <c r="G11" s="300"/>
      <c r="H11" s="300"/>
      <c r="I11" s="300"/>
      <c r="J11" s="300"/>
    </row>
    <row r="12" spans="1:16" ht="23.25" customHeight="1" x14ac:dyDescent="0.25">
      <c r="A12" s="25"/>
      <c r="B12" s="300"/>
      <c r="C12" s="300"/>
      <c r="D12" s="300"/>
      <c r="E12" s="300"/>
      <c r="F12" s="25"/>
      <c r="G12" s="300"/>
      <c r="H12" s="300"/>
      <c r="I12" s="300"/>
      <c r="J12" s="300"/>
    </row>
    <row r="13" spans="1:16" ht="23.25" customHeight="1" x14ac:dyDescent="0.25">
      <c r="A13" s="25"/>
      <c r="B13" s="300"/>
      <c r="C13" s="300"/>
      <c r="D13" s="300"/>
      <c r="E13" s="300"/>
      <c r="F13" s="25"/>
      <c r="G13" s="300"/>
      <c r="H13" s="300"/>
      <c r="I13" s="300"/>
      <c r="J13" s="300"/>
    </row>
    <row r="14" spans="1:16" ht="23.25" customHeight="1" x14ac:dyDescent="0.25">
      <c r="A14" s="25"/>
      <c r="B14" s="300"/>
      <c r="C14" s="300"/>
      <c r="D14" s="300"/>
      <c r="E14" s="300"/>
      <c r="F14" s="25"/>
      <c r="G14" s="300"/>
      <c r="H14" s="300"/>
      <c r="I14" s="300"/>
      <c r="J14" s="300"/>
    </row>
    <row r="15" spans="1:16" ht="23.25" customHeight="1" x14ac:dyDescent="0.25">
      <c r="A15" s="25"/>
      <c r="B15" s="300"/>
      <c r="C15" s="300"/>
      <c r="D15" s="300"/>
      <c r="E15" s="300"/>
      <c r="F15" s="25"/>
      <c r="G15" s="300"/>
      <c r="H15" s="300"/>
      <c r="I15" s="300"/>
      <c r="J15" s="300"/>
    </row>
    <row r="16" spans="1:16" ht="23.25" customHeight="1" x14ac:dyDescent="0.25">
      <c r="A16" s="25"/>
      <c r="B16" s="300"/>
      <c r="C16" s="300"/>
      <c r="D16" s="300"/>
      <c r="E16" s="300"/>
      <c r="F16" s="25"/>
      <c r="G16" s="300"/>
      <c r="H16" s="300"/>
      <c r="I16" s="300"/>
      <c r="J16" s="300"/>
    </row>
    <row r="17" spans="1:10" ht="23.25" customHeight="1" x14ac:dyDescent="0.25">
      <c r="A17" s="25"/>
      <c r="B17" s="300"/>
      <c r="C17" s="300"/>
      <c r="D17" s="300"/>
      <c r="E17" s="300"/>
      <c r="F17" s="25"/>
      <c r="G17" s="300"/>
      <c r="H17" s="300"/>
      <c r="I17" s="300"/>
      <c r="J17" s="300"/>
    </row>
    <row r="18" spans="1:10" ht="23.25" customHeight="1" x14ac:dyDescent="0.25">
      <c r="A18" s="25"/>
      <c r="B18" s="300"/>
      <c r="C18" s="300"/>
      <c r="D18" s="300"/>
      <c r="E18" s="300"/>
      <c r="F18" s="25"/>
      <c r="G18" s="300"/>
      <c r="H18" s="300"/>
      <c r="I18" s="300"/>
      <c r="J18" s="300"/>
    </row>
    <row r="19" spans="1:10" ht="23.25" customHeight="1" x14ac:dyDescent="0.25">
      <c r="A19" s="25"/>
      <c r="B19" s="300"/>
      <c r="C19" s="300"/>
      <c r="D19" s="300"/>
      <c r="E19" s="300"/>
      <c r="F19" s="25"/>
      <c r="G19" s="300"/>
      <c r="H19" s="300"/>
      <c r="I19" s="300"/>
      <c r="J19" s="300"/>
    </row>
    <row r="20" spans="1:10" ht="23.25" customHeight="1" thickBot="1" x14ac:dyDescent="0.3">
      <c r="A20" s="25"/>
      <c r="B20" s="2269" t="s">
        <v>125</v>
      </c>
      <c r="C20" s="2270"/>
      <c r="D20" s="2270"/>
      <c r="E20" s="2271"/>
      <c r="F20" s="1044"/>
      <c r="G20" s="2269" t="s">
        <v>124</v>
      </c>
      <c r="H20" s="2270"/>
      <c r="I20" s="2270"/>
      <c r="J20" s="2271"/>
    </row>
    <row r="21" spans="1:10" ht="13.5" customHeight="1" thickTop="1" x14ac:dyDescent="0.25">
      <c r="A21" s="25"/>
      <c r="B21" s="300"/>
      <c r="C21" s="300"/>
      <c r="D21" s="300"/>
      <c r="E21" s="300"/>
      <c r="F21" s="25"/>
      <c r="G21" s="300"/>
      <c r="H21" s="300"/>
      <c r="I21" s="300"/>
      <c r="J21" s="300"/>
    </row>
    <row r="22" spans="1:10" s="1689" customFormat="1" ht="23.25" customHeight="1" x14ac:dyDescent="0.25">
      <c r="A22" s="1683"/>
      <c r="B22" s="1684"/>
      <c r="C22" s="1685">
        <f>D22-1</f>
        <v>2014</v>
      </c>
      <c r="D22" s="1686">
        <f>E22-1</f>
        <v>2015</v>
      </c>
      <c r="E22" s="1711">
        <f>'A.1.Présentation structure'!C22</f>
        <v>2016</v>
      </c>
      <c r="F22" s="1683"/>
      <c r="G22" s="1687"/>
      <c r="H22" s="1725">
        <f>I22-1</f>
        <v>2014</v>
      </c>
      <c r="I22" s="1688">
        <f>J22-1</f>
        <v>2015</v>
      </c>
      <c r="J22" s="1711">
        <f>'A.1.Présentation structure'!C22</f>
        <v>2016</v>
      </c>
    </row>
    <row r="23" spans="1:10" ht="23.25" customHeight="1" x14ac:dyDescent="0.25">
      <c r="A23" s="25"/>
      <c r="B23" s="273" t="s">
        <v>126</v>
      </c>
      <c r="C23" s="1676">
        <f>'B.3.Comptes passés &amp; en cours'!I8</f>
        <v>0</v>
      </c>
      <c r="D23" s="1677">
        <f>'B.3.Comptes passés &amp; en cours'!J8</f>
        <v>0</v>
      </c>
      <c r="E23" s="1712">
        <f>'B.3.Comptes passés &amp; en cours'!K8</f>
        <v>0</v>
      </c>
      <c r="F23" s="25"/>
      <c r="G23" s="273" t="s">
        <v>260</v>
      </c>
      <c r="H23" s="1726">
        <f>'B.3.Comptes passés &amp; en cours'!C42</f>
        <v>0</v>
      </c>
      <c r="I23" s="1727">
        <f>'B.3.Comptes passés &amp; en cours'!D42</f>
        <v>0</v>
      </c>
      <c r="J23" s="1712">
        <f>'B.3.Comptes passés &amp; en cours'!E42</f>
        <v>0</v>
      </c>
    </row>
    <row r="24" spans="1:10" ht="23.25" customHeight="1" x14ac:dyDescent="0.25">
      <c r="A24" s="25"/>
      <c r="B24" s="273" t="s">
        <v>127</v>
      </c>
      <c r="C24" s="1676">
        <f>'B.3.Comptes passés &amp; en cours'!I8+'B.3.Comptes passés &amp; en cours'!I9+'B.3.Comptes passés &amp; en cours'!I10-'B.3.Comptes passés &amp; en cours'!C8</f>
        <v>0</v>
      </c>
      <c r="D24" s="1677">
        <f>'B.3.Comptes passés &amp; en cours'!J8+'B.3.Comptes passés &amp; en cours'!J9+'B.3.Comptes passés &amp; en cours'!J10-'B.3.Comptes passés &amp; en cours'!D8</f>
        <v>0</v>
      </c>
      <c r="E24" s="1712">
        <f>'B.3.Comptes passés &amp; en cours'!K8+'B.3.Comptes passés &amp; en cours'!K9+'B.3.Comptes passés &amp; en cours'!K10-'B.3.Comptes passés &amp; en cours'!E8</f>
        <v>0</v>
      </c>
      <c r="F24" s="25"/>
      <c r="G24" s="273" t="s">
        <v>123</v>
      </c>
      <c r="H24" s="1726">
        <f>'B.3.Comptes passés &amp; en cours'!C43</f>
        <v>0</v>
      </c>
      <c r="I24" s="1727">
        <f>'B.3.Comptes passés &amp; en cours'!D43</f>
        <v>0</v>
      </c>
      <c r="J24" s="1712">
        <f>'B.3.Comptes passés &amp; en cours'!E43</f>
        <v>0</v>
      </c>
    </row>
    <row r="25" spans="1:10" ht="23.25" customHeight="1" x14ac:dyDescent="0.25">
      <c r="A25" s="25"/>
      <c r="B25" s="273" t="s">
        <v>128</v>
      </c>
      <c r="C25" s="1676">
        <f>'B.3.Comptes passés &amp; en cours'!C13-'B.3.Comptes passés &amp; en cours'!C11-('B.3.Comptes passés &amp; en cours'!I11-'B.3.Comptes passés &amp; en cours'!I15)</f>
        <v>0</v>
      </c>
      <c r="D25" s="1677">
        <f>'B.3.Comptes passés &amp; en cours'!D13-'B.3.Comptes passés &amp; en cours'!D11-('B.3.Comptes passés &amp; en cours'!J11-'B.3.Comptes passés &amp; en cours'!J15)</f>
        <v>0</v>
      </c>
      <c r="E25" s="1712">
        <f>'B.3.Comptes passés &amp; en cours'!E13-'B.3.Comptes passés &amp; en cours'!E11-('B.3.Comptes passés &amp; en cours'!K11-'B.3.Comptes passés &amp; en cours'!K15)</f>
        <v>0</v>
      </c>
      <c r="F25" s="25"/>
      <c r="G25" s="273" t="s">
        <v>63</v>
      </c>
      <c r="H25" s="1915" t="str">
        <f>IF(H24=0, "", H24/('B.3.Comptes passés &amp; en cours'!I33+'B.3.Comptes passés &amp; en cours'!I34+'B.3.Comptes passés &amp; en cours'!I35+'B.3.Comptes passés &amp; en cours'!I36))</f>
        <v/>
      </c>
      <c r="I25" s="1916" t="str">
        <f>IF(I24=0, "",I24/('B.3.Comptes passés &amp; en cours'!J33+'B.3.Comptes passés &amp; en cours'!J34+'B.3.Comptes passés &amp; en cours'!J35+'B.3.Comptes passés &amp; en cours'!J36))</f>
        <v/>
      </c>
      <c r="J25" s="1917" t="str">
        <f>IF(J24=0, "",J24/('B.3.Comptes passés &amp; en cours'!K33+'B.3.Comptes passés &amp; en cours'!K34+'B.3.Comptes passés &amp; en cours'!K35+'B.3.Comptes passés &amp; en cours'!K36))</f>
        <v/>
      </c>
    </row>
    <row r="26" spans="1:10" ht="23.25" customHeight="1" x14ac:dyDescent="0.25">
      <c r="A26" s="25"/>
      <c r="B26" s="43" t="s">
        <v>129</v>
      </c>
      <c r="C26" s="1678">
        <f t="shared" ref="C26:E26" si="0">C24-C25</f>
        <v>0</v>
      </c>
      <c r="D26" s="1679">
        <f t="shared" si="0"/>
        <v>0</v>
      </c>
      <c r="E26" s="1713">
        <f t="shared" si="0"/>
        <v>0</v>
      </c>
      <c r="F26" s="25"/>
      <c r="G26" s="273" t="s">
        <v>19</v>
      </c>
      <c r="H26" s="1726" t="e">
        <f>(('B.3.Comptes passés &amp; en cours'!I24+'B.3.Comptes passés &amp; en cours'!I25)-('B.3.Comptes passés &amp; en cours'!C24+'B.3.Comptes passés &amp; en cours'!C28+'B.3.Comptes passés &amp; en cours'!C30))/('B.3.Comptes passés &amp; en cours'!I24+'B.3.Comptes passés &amp; en cours'!I25)</f>
        <v>#DIV/0!</v>
      </c>
      <c r="I26" s="1727" t="e">
        <f>(('B.3.Comptes passés &amp; en cours'!J24+'B.3.Comptes passés &amp; en cours'!J25)-('B.3.Comptes passés &amp; en cours'!D24+'B.3.Comptes passés &amp; en cours'!D28+'B.3.Comptes passés &amp; en cours'!D30))/('B.3.Comptes passés &amp; en cours'!J24+'B.3.Comptes passés &amp; en cours'!J25)</f>
        <v>#DIV/0!</v>
      </c>
      <c r="J26" s="1712" t="e">
        <f>(('B.3.Comptes passés &amp; en cours'!K24+'B.3.Comptes passés &amp; en cours'!K25)-('B.3.Comptes passés &amp; en cours'!E24+'B.3.Comptes passés &amp; en cours'!E28+'B.3.Comptes passés &amp; en cours'!E30))/('B.3.Comptes passés &amp; en cours'!K24+'B.3.Comptes passés &amp; en cours'!K25)</f>
        <v>#DIV/0!</v>
      </c>
    </row>
    <row r="27" spans="1:10" ht="23.25" customHeight="1" x14ac:dyDescent="0.25">
      <c r="A27" s="25"/>
      <c r="B27" s="1035" t="s">
        <v>436</v>
      </c>
      <c r="C27" s="1680" t="str">
        <f>IF(C24=0,"",(C24/('B.3.Comptes passés &amp; en cours'!C33-'B.3.Comptes passés &amp; en cours'!C31)*360))</f>
        <v/>
      </c>
      <c r="D27" s="1728" t="str">
        <f>IF(D24=0,"",D24/('B.3.Comptes passés &amp; en cours'!D33-'B.3.Comptes passés &amp; en cours'!D31)*360)</f>
        <v/>
      </c>
      <c r="E27" s="1729" t="str">
        <f>IF(E24=0,"",E24/('B.3.Comptes passés &amp; en cours'!E33-'B.3.Comptes passés &amp; en cours'!E31)*360)</f>
        <v/>
      </c>
      <c r="F27" s="25"/>
      <c r="G27" s="2279" t="s">
        <v>284</v>
      </c>
      <c r="H27" s="2280" t="e">
        <f>IF((('B.3.Comptes passés &amp; en cours'!C33-('B.3.Comptes passés &amp; en cours'!C24+'B.3.Comptes passés &amp; en cours'!C28+'B.3.Comptes passés &amp; en cours'!C30))/H26)&gt;0,(('B.3.Comptes passés &amp; en cours'!C33-('B.3.Comptes passés &amp; en cours'!C24+'B.3.Comptes passés &amp; en cours'!C28+'B.3.Comptes passés &amp; en cours'!C30))/H26),"Le modèle éco. n'est pas viable")</f>
        <v>#DIV/0!</v>
      </c>
      <c r="I27" s="2282" t="e">
        <f>IF((('B.3.Comptes passés &amp; en cours'!D33-('B.3.Comptes passés &amp; en cours'!D24+'B.3.Comptes passés &amp; en cours'!D28+'B.3.Comptes passés &amp; en cours'!D30))/I26)&gt;0,(('B.3.Comptes passés &amp; en cours'!D33-('B.3.Comptes passés &amp; en cours'!D24+'B.3.Comptes passés &amp; en cours'!D28+'B.3.Comptes passés &amp; en cours'!D30))/I26),"Le modèle éco. n'est pas viable")</f>
        <v>#DIV/0!</v>
      </c>
      <c r="J27" s="2284" t="e">
        <f>IF((('B.3.Comptes passés &amp; en cours'!E33-('B.3.Comptes passés &amp; en cours'!E24+'B.3.Comptes passés &amp; en cours'!E28+'B.3.Comptes passés &amp; en cours'!E30))/J26)&gt;0,(('B.3.Comptes passés &amp; en cours'!E33-('B.3.Comptes passés &amp; en cours'!E24+'B.3.Comptes passés &amp; en cours'!E28+'B.3.Comptes passés &amp; en cours'!E30))/J26),"Le modèle éco. n'est pas viable")</f>
        <v>#DIV/0!</v>
      </c>
    </row>
    <row r="28" spans="1:10" ht="23.25" customHeight="1" thickBot="1" x14ac:dyDescent="0.3">
      <c r="A28" s="25"/>
      <c r="B28" s="739" t="s">
        <v>415</v>
      </c>
      <c r="C28" s="1681" t="str">
        <f>IF(C26=0,"",(C26/'B.3.Comptes passés &amp; en cours'!I11))</f>
        <v/>
      </c>
      <c r="D28" s="1682" t="str">
        <f>IF(D26=0,"",(D26/'B.3.Comptes passés &amp; en cours'!J11))</f>
        <v/>
      </c>
      <c r="E28" s="1714" t="str">
        <f>IF(E26=0,"",(E26/'B.3.Comptes passés &amp; en cours'!K11))</f>
        <v/>
      </c>
      <c r="F28" s="25"/>
      <c r="G28" s="2261"/>
      <c r="H28" s="2281"/>
      <c r="I28" s="2283"/>
      <c r="J28" s="2285"/>
    </row>
    <row r="29" spans="1:10" ht="23.25" customHeight="1" thickTop="1" x14ac:dyDescent="0.25">
      <c r="A29" s="25"/>
      <c r="B29" s="1127" t="s">
        <v>248</v>
      </c>
      <c r="C29" s="1127" t="str">
        <f>IF('B.3.Comptes passés &amp; en cours'!C11-'B.3.Comptes passés &amp; en cours'!I15='B.3.Comptes passés &amp; en cours'!C11, "ok",C26-'B.3.Comptes passés &amp; en cours'!C11-'B.3.Comptes passés &amp; en cours'!I15)</f>
        <v>ok</v>
      </c>
      <c r="D29" s="1127" t="str">
        <f>IF('B.3.Comptes passés &amp; en cours'!D11-'B.3.Comptes passés &amp; en cours'!J15=D26, "ok", D26-('B.3.Comptes passés &amp; en cours'!D11-'B.3.Comptes passés &amp; en cours'!J15))</f>
        <v>ok</v>
      </c>
      <c r="E29" s="1127" t="str">
        <f>IF('B.3.Comptes passés &amp; en cours'!E11-'B.3.Comptes passés &amp; en cours'!K15=E26, "ok",E26-('B.3.Comptes passés &amp; en cours'!E11-'B.3.Comptes passés &amp; en cours'!K15))</f>
        <v>ok</v>
      </c>
      <c r="F29" s="25"/>
      <c r="G29" s="300"/>
      <c r="H29" s="300"/>
      <c r="I29" s="300"/>
      <c r="J29" s="300"/>
    </row>
    <row r="30" spans="1:10" ht="23.25" customHeight="1" x14ac:dyDescent="0.25">
      <c r="A30" s="25"/>
      <c r="B30" s="300"/>
      <c r="C30" s="300"/>
      <c r="D30" s="300"/>
      <c r="E30" s="300"/>
      <c r="F30" s="25"/>
    </row>
    <row r="31" spans="1:10" ht="23.25" customHeight="1" thickBot="1" x14ac:dyDescent="0.3">
      <c r="A31" s="25"/>
      <c r="B31" s="2084" t="s">
        <v>136</v>
      </c>
      <c r="C31" s="2085"/>
      <c r="D31" s="2085"/>
      <c r="E31" s="2086"/>
      <c r="F31" s="25"/>
      <c r="G31" s="2084" t="s">
        <v>41</v>
      </c>
      <c r="H31" s="2085"/>
      <c r="I31" s="2085"/>
      <c r="J31" s="2086"/>
    </row>
    <row r="32" spans="1:10" ht="12.75" customHeight="1" thickTop="1" x14ac:dyDescent="0.25">
      <c r="A32" s="25"/>
      <c r="B32" s="300"/>
      <c r="C32" s="300"/>
      <c r="D32" s="300"/>
      <c r="E32" s="300"/>
      <c r="F32" s="25"/>
    </row>
    <row r="33" spans="1:11" ht="23.25" customHeight="1" x14ac:dyDescent="0.25">
      <c r="A33" s="25"/>
      <c r="B33" s="300"/>
      <c r="C33" s="300"/>
      <c r="D33" s="300"/>
      <c r="E33" s="300"/>
      <c r="F33" s="25"/>
      <c r="G33" s="300"/>
      <c r="H33" s="300"/>
      <c r="I33" s="300"/>
      <c r="J33" s="300"/>
    </row>
    <row r="34" spans="1:11" ht="23.25" customHeight="1" x14ac:dyDescent="0.25">
      <c r="A34" s="25"/>
      <c r="B34" s="300"/>
      <c r="C34" s="300"/>
      <c r="D34" s="300"/>
      <c r="E34" s="300"/>
      <c r="F34" s="25"/>
      <c r="G34" s="300"/>
      <c r="H34" s="300"/>
      <c r="I34" s="300"/>
      <c r="J34" s="300"/>
    </row>
    <row r="35" spans="1:11" ht="23.25" customHeight="1" x14ac:dyDescent="0.25">
      <c r="A35" s="25"/>
      <c r="B35" s="300"/>
      <c r="C35" s="300"/>
      <c r="D35" s="300"/>
      <c r="E35" s="300"/>
      <c r="F35" s="25"/>
    </row>
    <row r="36" spans="1:11" ht="23.25" customHeight="1" x14ac:dyDescent="0.25">
      <c r="A36" s="25"/>
      <c r="B36" s="300"/>
      <c r="C36" s="300"/>
      <c r="D36" s="300"/>
      <c r="E36" s="300"/>
      <c r="F36" s="25"/>
    </row>
    <row r="37" spans="1:11" ht="23.25" customHeight="1" x14ac:dyDescent="0.25">
      <c r="A37" s="25"/>
      <c r="F37" s="25"/>
    </row>
    <row r="44" spans="1:11" ht="23.25" customHeight="1" x14ac:dyDescent="0.25">
      <c r="K44" s="649"/>
    </row>
    <row r="45" spans="1:11" ht="27.75" customHeight="1" x14ac:dyDescent="0.25">
      <c r="K45" s="1670"/>
    </row>
    <row r="46" spans="1:11" ht="27.75" customHeight="1" x14ac:dyDescent="0.25">
      <c r="K46" s="1670"/>
    </row>
    <row r="47" spans="1:11" ht="23.25" customHeight="1" thickBot="1" x14ac:dyDescent="0.3">
      <c r="A47" s="25"/>
      <c r="B47" s="2084" t="s">
        <v>310</v>
      </c>
      <c r="C47" s="2085"/>
      <c r="D47" s="2085"/>
      <c r="E47" s="2085"/>
      <c r="F47" s="2085"/>
      <c r="G47" s="2085"/>
      <c r="H47" s="2085"/>
      <c r="I47" s="2085"/>
      <c r="J47" s="2290"/>
    </row>
    <row r="48" spans="1:11" ht="12.75" customHeight="1" thickTop="1" x14ac:dyDescent="0.25">
      <c r="I48" s="187"/>
      <c r="J48" s="187"/>
    </row>
    <row r="49" spans="1:11" s="1689" customFormat="1" ht="23.25" customHeight="1" x14ac:dyDescent="0.25">
      <c r="B49" s="1683"/>
      <c r="C49" s="1685">
        <f>D49-1</f>
        <v>2014</v>
      </c>
      <c r="D49" s="1690">
        <f>E49-1</f>
        <v>2015</v>
      </c>
      <c r="E49" s="1718">
        <f>'A.1.Présentation structure'!C22</f>
        <v>2016</v>
      </c>
      <c r="G49" s="1691"/>
      <c r="H49" s="1692">
        <f>I49-1</f>
        <v>2014</v>
      </c>
      <c r="I49" s="1693">
        <f>J49-1</f>
        <v>2015</v>
      </c>
      <c r="J49" s="1715">
        <f>'A.1.Présentation structure'!C22</f>
        <v>2016</v>
      </c>
    </row>
    <row r="50" spans="1:11" ht="23.25" customHeight="1" x14ac:dyDescent="0.25">
      <c r="B50" s="273" t="str">
        <f>B23</f>
        <v>Fonds Propres</v>
      </c>
      <c r="C50" s="277" t="str">
        <f>IF(C23=0, "", IF(C23&gt;0,"Ok","Alerte"))</f>
        <v/>
      </c>
      <c r="D50" s="308" t="str">
        <f>IF(D23=0,"",IF(D23&lt;0,"Alerte",IF(('B.3.Comptes passés &amp; en cours'!J8/'B.3.Comptes passés &amp; en cours'!I8)*100&lt;70,"Alerte","Ok")))</f>
        <v/>
      </c>
      <c r="E50" s="1719" t="str">
        <f>IF(E23=0,"", IF(E23&lt;0,"Alerte",IF(('B.3.Comptes passés &amp; en cours'!K8/'B.3.Comptes passés &amp; en cours'!J8)*100&lt;70,"Alerte","Ok")))</f>
        <v/>
      </c>
      <c r="G50" s="274" t="s">
        <v>23</v>
      </c>
      <c r="H50" s="720"/>
      <c r="I50" s="721" t="str">
        <f>IF(('B.3.Comptes passés &amp; en cours'!J33&lt;'B.3.Comptes passés &amp; en cours'!I33),"Alerte","Ok")</f>
        <v>Ok</v>
      </c>
      <c r="J50" s="1716" t="str">
        <f>IF(('B.3.Comptes passés &amp; en cours'!K33&lt;'B.3.Comptes passés &amp; en cours'!J33),"Alerte","Ok")</f>
        <v>Ok</v>
      </c>
    </row>
    <row r="51" spans="1:11" ht="23.25" customHeight="1" x14ac:dyDescent="0.25">
      <c r="B51" s="43" t="str">
        <f>B24</f>
        <v>Fond de Roulement</v>
      </c>
      <c r="C51" s="303" t="str">
        <f>IF(C24&lt;(('B.3.Comptes passés &amp; en cours'!C27+'B.3.Comptes passés &amp; en cours'!C29)/6),"Alerte","Ok")</f>
        <v>Ok</v>
      </c>
      <c r="D51" s="310" t="str">
        <f>IF(D24&lt;(('B.3.Comptes passés &amp; en cours'!D27+'B.3.Comptes passés &amp; en cours'!D29)/6),"Alerte","Ok")</f>
        <v>Ok</v>
      </c>
      <c r="E51" s="1719" t="str">
        <f>IF(E24&lt;(('B.3.Comptes passés &amp; en cours'!E27+'B.3.Comptes passés &amp; en cours'!E29)/6),"Alerte","Ok")</f>
        <v>Ok</v>
      </c>
      <c r="G51" s="725" t="s">
        <v>260</v>
      </c>
      <c r="H51" s="726" t="str">
        <f>IF((H23&lt;0),"Alerte","Ok")</f>
        <v>Ok</v>
      </c>
      <c r="I51" s="721" t="str">
        <f t="shared" ref="I51:J52" si="1">IF(I23&lt;0,"Alerte", IF((I23&lt;H23),"Alerte","Ok"))</f>
        <v>Ok</v>
      </c>
      <c r="J51" s="1716" t="str">
        <f t="shared" si="1"/>
        <v>Ok</v>
      </c>
    </row>
    <row r="52" spans="1:11" ht="23.25" customHeight="1" thickBot="1" x14ac:dyDescent="0.3">
      <c r="B52" s="284" t="s">
        <v>21</v>
      </c>
      <c r="C52" s="311"/>
      <c r="D52" s="312" t="str">
        <f>IF((D27=C27), "", IF((D27&lt;C27),"Alerte","Ok"))</f>
        <v/>
      </c>
      <c r="E52" s="1720" t="str">
        <f>IF((E27=D27), "",IF((E27&lt;D27),"Alerte","Ok"))</f>
        <v/>
      </c>
      <c r="G52" s="719" t="s">
        <v>123</v>
      </c>
      <c r="H52" s="320" t="str">
        <f>IF(H24&gt;0,"Ok","Alerte")</f>
        <v>Alerte</v>
      </c>
      <c r="I52" s="321" t="str">
        <f t="shared" si="1"/>
        <v>Ok</v>
      </c>
      <c r="J52" s="1724" t="str">
        <f t="shared" si="1"/>
        <v>Ok</v>
      </c>
    </row>
    <row r="53" spans="1:11" ht="23.25" customHeight="1" thickTop="1" x14ac:dyDescent="0.25">
      <c r="B53" s="285" t="s">
        <v>22</v>
      </c>
      <c r="C53" s="314" t="str">
        <f t="shared" ref="C53:E53" si="2">IF((C25&gt;C24),"Alerte", "Ok")</f>
        <v>Ok</v>
      </c>
      <c r="D53" s="315" t="str">
        <f t="shared" si="2"/>
        <v>Ok</v>
      </c>
      <c r="E53" s="1721" t="str">
        <f t="shared" si="2"/>
        <v>Ok</v>
      </c>
      <c r="G53" s="82"/>
      <c r="H53" s="294"/>
      <c r="I53" s="294"/>
      <c r="J53" s="294"/>
    </row>
    <row r="54" spans="1:11" ht="23.25" customHeight="1" thickBot="1" x14ac:dyDescent="0.3">
      <c r="B54" s="286" t="str">
        <f>B26</f>
        <v>Trésorerie Nette</v>
      </c>
      <c r="C54" s="317" t="str">
        <f>IF((C26&lt;0),"Alerte","Ok")</f>
        <v>Ok</v>
      </c>
      <c r="D54" s="318" t="str">
        <f>IF(D26&lt;0,"Alerte", IF((D26&lt;C26),"Alerte","Ok"))</f>
        <v>Ok</v>
      </c>
      <c r="E54" s="1722" t="str">
        <f>IF(E26&lt;0,"Alerte", IF((E26&lt;D26),"Alerte","Ok"))</f>
        <v>Ok</v>
      </c>
      <c r="G54" s="295"/>
      <c r="H54" s="296"/>
      <c r="I54" s="296"/>
      <c r="J54" s="296"/>
    </row>
    <row r="55" spans="1:11" ht="23.25" customHeight="1" thickTop="1" x14ac:dyDescent="0.25">
      <c r="B55" s="82"/>
      <c r="C55" s="287"/>
      <c r="D55" s="287"/>
      <c r="E55" s="288"/>
      <c r="G55" s="15"/>
      <c r="H55" s="297"/>
      <c r="I55" s="297"/>
      <c r="J55" s="297"/>
    </row>
    <row r="56" spans="1:11" ht="23.25" customHeight="1" thickBot="1" x14ac:dyDescent="0.3">
      <c r="B56" s="289" t="s">
        <v>137</v>
      </c>
      <c r="C56" s="290" t="str">
        <f t="shared" ref="C56:E56" si="3">IF(COUNTIF(C50:C54,"Alerte")=0,"-",COUNTIF(C50:C54,"Alerte")&amp;" Alertes")</f>
        <v>-</v>
      </c>
      <c r="D56" s="291" t="str">
        <f t="shared" si="3"/>
        <v>-</v>
      </c>
      <c r="E56" s="1723" t="str">
        <f t="shared" si="3"/>
        <v>-</v>
      </c>
      <c r="G56" s="289" t="s">
        <v>145</v>
      </c>
      <c r="H56" s="298" t="str">
        <f t="shared" ref="H56:J56" si="4">IF(COUNTIF(H50:H53,"Alerte")=0,"-",COUNTIF(H50:H53,"Alerte")&amp;" Alertes")</f>
        <v>1 Alertes</v>
      </c>
      <c r="I56" s="299" t="str">
        <f t="shared" si="4"/>
        <v>-</v>
      </c>
      <c r="J56" s="1717" t="str">
        <f t="shared" si="4"/>
        <v>-</v>
      </c>
    </row>
    <row r="57" spans="1:11" ht="27.75" customHeight="1" thickTop="1" x14ac:dyDescent="0.25">
      <c r="K57" s="1670"/>
    </row>
    <row r="58" spans="1:11" ht="23.25" customHeight="1" x14ac:dyDescent="0.25">
      <c r="B58" s="1049"/>
      <c r="C58" s="1050"/>
      <c r="D58" s="1050"/>
      <c r="E58" s="1050"/>
      <c r="F58" s="710"/>
      <c r="G58" s="710"/>
      <c r="H58" s="710"/>
      <c r="I58" s="710"/>
      <c r="J58" s="710"/>
      <c r="K58" s="1670"/>
    </row>
    <row r="59" spans="1:11" ht="23.25" customHeight="1" thickBot="1" x14ac:dyDescent="0.3">
      <c r="A59" s="25"/>
      <c r="B59" s="2266" t="s">
        <v>443</v>
      </c>
      <c r="C59" s="2267"/>
      <c r="D59" s="2267"/>
      <c r="E59" s="2267"/>
      <c r="F59" s="2267"/>
      <c r="G59" s="2267"/>
      <c r="H59" s="2267"/>
      <c r="I59" s="2267"/>
      <c r="J59" s="2289"/>
    </row>
    <row r="60" spans="1:11" ht="13.5" customHeight="1" thickTop="1" x14ac:dyDescent="0.25">
      <c r="A60" s="25"/>
      <c r="B60" s="300"/>
      <c r="C60" s="300"/>
      <c r="D60" s="300"/>
      <c r="E60" s="300"/>
      <c r="G60" s="300"/>
      <c r="H60" s="300"/>
      <c r="I60" s="300"/>
      <c r="J60" s="300"/>
    </row>
    <row r="61" spans="1:11" ht="23.25" customHeight="1" x14ac:dyDescent="0.25">
      <c r="B61" s="25"/>
      <c r="F61" s="25"/>
      <c r="G61" s="25"/>
    </row>
    <row r="62" spans="1:11" ht="23.25" customHeight="1" x14ac:dyDescent="0.25">
      <c r="A62" s="25"/>
      <c r="B62" s="25"/>
      <c r="C62" s="25"/>
      <c r="D62" s="25"/>
      <c r="E62" s="25"/>
    </row>
    <row r="63" spans="1:11" ht="23.25" customHeight="1" x14ac:dyDescent="0.25">
      <c r="A63" s="25"/>
      <c r="B63" s="25"/>
      <c r="C63" s="25"/>
      <c r="D63" s="25"/>
      <c r="E63" s="25"/>
    </row>
    <row r="64" spans="1:11" ht="23.25" customHeight="1" x14ac:dyDescent="0.25">
      <c r="A64" s="25"/>
      <c r="B64" s="25"/>
      <c r="C64" s="25"/>
      <c r="D64" s="25"/>
      <c r="E64" s="25"/>
    </row>
    <row r="65" spans="1:10" ht="23.25" customHeight="1" x14ac:dyDescent="0.25">
      <c r="A65" s="25"/>
      <c r="B65" s="25"/>
      <c r="C65" s="25"/>
      <c r="D65" s="25"/>
      <c r="E65" s="25"/>
    </row>
    <row r="66" spans="1:10" ht="23.25" customHeight="1" x14ac:dyDescent="0.25">
      <c r="A66" s="25"/>
      <c r="B66" s="25"/>
      <c r="C66" s="25"/>
      <c r="D66" s="25"/>
      <c r="E66" s="25"/>
    </row>
    <row r="67" spans="1:10" ht="23.25" customHeight="1" x14ac:dyDescent="0.25">
      <c r="A67" s="25"/>
      <c r="B67" s="25"/>
      <c r="C67" s="25"/>
      <c r="D67" s="25"/>
      <c r="E67" s="25"/>
    </row>
    <row r="68" spans="1:10" ht="23.25" customHeight="1" x14ac:dyDescent="0.25">
      <c r="A68" s="25"/>
      <c r="B68" s="25"/>
      <c r="C68" s="25"/>
      <c r="D68" s="25"/>
      <c r="E68" s="25"/>
    </row>
    <row r="69" spans="1:10" ht="23.25" customHeight="1" x14ac:dyDescent="0.25">
      <c r="A69" s="25"/>
      <c r="B69" s="25"/>
      <c r="C69" s="25"/>
      <c r="D69" s="25"/>
      <c r="E69" s="25"/>
    </row>
    <row r="70" spans="1:10" ht="23.25" customHeight="1" x14ac:dyDescent="0.25">
      <c r="A70" s="25"/>
      <c r="B70" s="25"/>
      <c r="C70" s="25"/>
      <c r="D70" s="25"/>
      <c r="E70" s="25"/>
    </row>
    <row r="71" spans="1:10" ht="23.25" customHeight="1" x14ac:dyDescent="0.25">
      <c r="A71" s="25"/>
      <c r="B71" s="25"/>
      <c r="C71" s="25"/>
      <c r="D71" s="25"/>
      <c r="E71" s="25"/>
    </row>
    <row r="72" spans="1:10" ht="23.25" customHeight="1" x14ac:dyDescent="0.25">
      <c r="A72" s="25"/>
      <c r="B72" s="25"/>
      <c r="C72" s="25"/>
      <c r="D72" s="25"/>
      <c r="E72" s="25"/>
    </row>
    <row r="73" spans="1:10" ht="23.25" customHeight="1" x14ac:dyDescent="0.25">
      <c r="A73" s="25"/>
      <c r="B73" s="25"/>
      <c r="C73" s="25"/>
      <c r="D73" s="25"/>
      <c r="E73" s="25"/>
    </row>
    <row r="74" spans="1:10" ht="33.75" customHeight="1" x14ac:dyDescent="0.25">
      <c r="A74" s="25"/>
      <c r="B74" s="25"/>
      <c r="C74" s="25"/>
      <c r="D74" s="25"/>
      <c r="E74" s="25"/>
    </row>
    <row r="75" spans="1:10" ht="72" customHeight="1" x14ac:dyDescent="0.25">
      <c r="A75" s="25"/>
      <c r="B75" s="2278" t="s">
        <v>500</v>
      </c>
      <c r="C75" s="2278"/>
      <c r="D75" s="2278"/>
      <c r="E75" s="2278"/>
      <c r="F75" s="1694"/>
      <c r="G75" s="2248" t="s">
        <v>516</v>
      </c>
      <c r="H75" s="2248"/>
      <c r="I75" s="2248"/>
      <c r="J75" s="2248"/>
    </row>
    <row r="76" spans="1:10" ht="12" customHeight="1" x14ac:dyDescent="0.25">
      <c r="B76" s="710"/>
      <c r="C76" s="710"/>
      <c r="D76" s="710"/>
      <c r="E76" s="710"/>
      <c r="F76" s="710"/>
      <c r="G76" s="710"/>
      <c r="H76" s="710"/>
      <c r="I76" s="710"/>
      <c r="J76" s="710"/>
    </row>
    <row r="77" spans="1:10" ht="23.25" customHeight="1" x14ac:dyDescent="0.25">
      <c r="B77" s="2286" t="s">
        <v>311</v>
      </c>
      <c r="C77" s="2287"/>
      <c r="D77" s="2287"/>
      <c r="E77" s="2287"/>
      <c r="F77" s="2287"/>
      <c r="G77" s="2287"/>
      <c r="H77" s="2287"/>
      <c r="I77" s="2287"/>
      <c r="J77" s="2288"/>
    </row>
    <row r="78" spans="1:10" ht="184.5" customHeight="1" thickBot="1" x14ac:dyDescent="0.3">
      <c r="B78" s="2024"/>
      <c r="C78" s="2025"/>
      <c r="D78" s="2025"/>
      <c r="E78" s="2025"/>
      <c r="F78" s="2025"/>
      <c r="G78" s="2025"/>
      <c r="H78" s="2025"/>
      <c r="I78" s="2025"/>
      <c r="J78" s="2252"/>
    </row>
    <row r="79" spans="1:10" ht="23.25" customHeight="1" thickTop="1" x14ac:dyDescent="0.25"/>
  </sheetData>
  <sheetProtection password="CC57" sheet="1" objects="1" scenarios="1"/>
  <protectedRanges>
    <protectedRange sqref="B78:J78" name="Plage2"/>
  </protectedRanges>
  <mergeCells count="19">
    <mergeCell ref="B77:J77"/>
    <mergeCell ref="B78:J78"/>
    <mergeCell ref="B59:J59"/>
    <mergeCell ref="B47:J47"/>
    <mergeCell ref="G31:J31"/>
    <mergeCell ref="B2:J2"/>
    <mergeCell ref="G4:J4"/>
    <mergeCell ref="G20:J20"/>
    <mergeCell ref="B75:E75"/>
    <mergeCell ref="G75:J75"/>
    <mergeCell ref="B20:E20"/>
    <mergeCell ref="B31:E31"/>
    <mergeCell ref="G27:G28"/>
    <mergeCell ref="H27:H28"/>
    <mergeCell ref="I27:I28"/>
    <mergeCell ref="J27:J28"/>
    <mergeCell ref="B4:E4"/>
    <mergeCell ref="B6:E6"/>
    <mergeCell ref="G6:J6"/>
  </mergeCells>
  <printOptions horizontalCentered="1"/>
  <pageMargins left="0.70866141732283472" right="0.70866141732283472" top="0.74803149606299213" bottom="0.74803149606299213" header="0.31496062992125984" footer="0.31496062992125984"/>
  <pageSetup paperSize="9" scale="41" orientation="portrait" r:id="rId1"/>
  <headerFooter>
    <oddHeader>&amp;R&amp;G</oddHeader>
  </headerFooter>
  <drawing r:id="rId2"/>
  <legacy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2:Q167"/>
  <sheetViews>
    <sheetView topLeftCell="A43" zoomScale="90" zoomScaleNormal="90" zoomScaleSheetLayoutView="100" zoomScalePageLayoutView="80" workbookViewId="0">
      <selection activeCell="K77" sqref="K77"/>
    </sheetView>
  </sheetViews>
  <sheetFormatPr baseColWidth="10" defaultColWidth="10.85546875" defaultRowHeight="15" x14ac:dyDescent="0.25"/>
  <cols>
    <col min="1" max="1" width="10.85546875" style="1"/>
    <col min="2" max="2" width="30.7109375" style="1" customWidth="1"/>
    <col min="3" max="8" width="13.140625" style="1" customWidth="1"/>
    <col min="9" max="9" width="13.28515625" style="1" customWidth="1"/>
    <col min="10" max="10" width="12.140625" style="1" customWidth="1"/>
    <col min="11" max="11" width="13.85546875" style="1" customWidth="1"/>
    <col min="12" max="12" width="12.140625" style="1" customWidth="1"/>
    <col min="13" max="13" width="13.28515625" style="1" customWidth="1"/>
    <col min="14" max="14" width="12.5703125" style="1" customWidth="1"/>
    <col min="15" max="22" width="12.140625" style="1" customWidth="1"/>
    <col min="23" max="16384" width="10.85546875" style="1"/>
  </cols>
  <sheetData>
    <row r="2" spans="1:14" ht="18.75" x14ac:dyDescent="0.25">
      <c r="A2" s="261" t="s">
        <v>510</v>
      </c>
    </row>
    <row r="3" spans="1:14" x14ac:dyDescent="0.25">
      <c r="B3" s="2" t="s">
        <v>135</v>
      </c>
    </row>
    <row r="4" spans="1:14" ht="21.75" customHeight="1" x14ac:dyDescent="0.25">
      <c r="B4" s="18"/>
      <c r="C4" s="19">
        <f>E4-1</f>
        <v>2014</v>
      </c>
      <c r="D4" s="20">
        <f>F4-1</f>
        <v>2014</v>
      </c>
      <c r="E4" s="19">
        <f>G4-1</f>
        <v>2015</v>
      </c>
      <c r="F4" s="20">
        <f>H4-1</f>
        <v>2015</v>
      </c>
      <c r="G4" s="737">
        <f>'A.1.Présentation structure'!C22</f>
        <v>2016</v>
      </c>
      <c r="H4" s="738">
        <f>'A.1.Présentation structure'!C22</f>
        <v>2016</v>
      </c>
      <c r="I4" s="734"/>
      <c r="J4" s="735"/>
      <c r="K4" s="734"/>
      <c r="L4" s="735"/>
      <c r="M4" s="734"/>
      <c r="N4" s="735"/>
    </row>
    <row r="5" spans="1:14" ht="21.75" customHeight="1" x14ac:dyDescent="0.25">
      <c r="B5" s="21" t="s">
        <v>131</v>
      </c>
      <c r="C5" s="22">
        <f>'B.3.Comptes passés &amp; en cours'!C8</f>
        <v>0</v>
      </c>
      <c r="D5" s="22"/>
      <c r="E5" s="22">
        <f>'B.3.Comptes passés &amp; en cours'!D8</f>
        <v>0</v>
      </c>
      <c r="F5" s="22"/>
      <c r="G5" s="733">
        <f>'B.3.Comptes passés &amp; en cours'!E8</f>
        <v>0</v>
      </c>
      <c r="H5" s="24"/>
      <c r="I5" s="736"/>
      <c r="J5" s="736"/>
      <c r="K5" s="736"/>
      <c r="L5" s="736"/>
      <c r="M5" s="736"/>
      <c r="N5" s="736"/>
    </row>
    <row r="6" spans="1:14" ht="21.75" customHeight="1" x14ac:dyDescent="0.25">
      <c r="B6" s="21" t="s">
        <v>132</v>
      </c>
      <c r="C6" s="22">
        <f>'B.3.Comptes passés &amp; en cours'!C9+'B.3.Comptes passés &amp; en cours'!C10+'B.3.Comptes passés &amp; en cours'!C12</f>
        <v>0</v>
      </c>
      <c r="D6" s="22"/>
      <c r="E6" s="22">
        <f>'B.3.Comptes passés &amp; en cours'!D9+'B.3.Comptes passés &amp; en cours'!D10+'B.3.Comptes passés &amp; en cours'!D12</f>
        <v>0</v>
      </c>
      <c r="F6" s="22"/>
      <c r="G6" s="733">
        <f>'B.3.Comptes passés &amp; en cours'!E9+'B.3.Comptes passés &amp; en cours'!E10+'B.3.Comptes passés &amp; en cours'!E12</f>
        <v>0</v>
      </c>
      <c r="H6" s="24"/>
      <c r="I6" s="736"/>
      <c r="J6" s="736"/>
      <c r="K6" s="736"/>
      <c r="L6" s="736"/>
      <c r="M6" s="736"/>
      <c r="N6" s="736"/>
    </row>
    <row r="7" spans="1:14" ht="21.75" customHeight="1" x14ac:dyDescent="0.25">
      <c r="B7" s="21" t="s">
        <v>133</v>
      </c>
      <c r="C7" s="22">
        <f>'B.3.Comptes passés &amp; en cours'!C11</f>
        <v>0</v>
      </c>
      <c r="D7" s="22"/>
      <c r="E7" s="22">
        <f>'B.3.Comptes passés &amp; en cours'!D11</f>
        <v>0</v>
      </c>
      <c r="F7" s="22"/>
      <c r="G7" s="733">
        <f>'B.3.Comptes passés &amp; en cours'!E11</f>
        <v>0</v>
      </c>
      <c r="H7" s="24"/>
      <c r="I7" s="736"/>
      <c r="J7" s="736"/>
      <c r="K7" s="736"/>
      <c r="L7" s="736"/>
      <c r="M7" s="736"/>
      <c r="N7" s="736"/>
    </row>
    <row r="8" spans="1:14" ht="21.75" customHeight="1" x14ac:dyDescent="0.25">
      <c r="B8" s="21" t="s">
        <v>126</v>
      </c>
      <c r="C8" s="11"/>
      <c r="D8" s="11">
        <f>'B.3.Comptes passés &amp; en cours'!I8</f>
        <v>0</v>
      </c>
      <c r="E8" s="22"/>
      <c r="F8" s="22">
        <f>'B.3.Comptes passés &amp; en cours'!J8</f>
        <v>0</v>
      </c>
      <c r="G8" s="732"/>
      <c r="H8" s="729">
        <f>'B.3.Comptes passés &amp; en cours'!K8</f>
        <v>0</v>
      </c>
      <c r="I8" s="736"/>
      <c r="J8" s="736"/>
      <c r="K8" s="736"/>
      <c r="L8" s="736"/>
      <c r="M8" s="736"/>
      <c r="N8" s="736"/>
    </row>
    <row r="9" spans="1:14" ht="21.75" customHeight="1" x14ac:dyDescent="0.25">
      <c r="B9" s="21" t="s">
        <v>134</v>
      </c>
      <c r="C9" s="11"/>
      <c r="D9" s="11">
        <f>'B.3.Comptes passés &amp; en cours'!I9+'B.3.Comptes passés &amp; en cours'!I10</f>
        <v>0</v>
      </c>
      <c r="E9" s="22"/>
      <c r="F9" s="22">
        <f>'B.3.Comptes passés &amp; en cours'!J9+'B.3.Comptes passés &amp; en cours'!J10</f>
        <v>0</v>
      </c>
      <c r="G9" s="733"/>
      <c r="H9" s="729">
        <f>'B.3.Comptes passés &amp; en cours'!K9+'B.3.Comptes passés &amp; en cours'!K10</f>
        <v>0</v>
      </c>
      <c r="I9" s="736"/>
      <c r="J9" s="736"/>
      <c r="K9" s="736"/>
      <c r="L9" s="736"/>
      <c r="M9" s="736"/>
      <c r="N9" s="736"/>
    </row>
    <row r="10" spans="1:14" ht="21.75" customHeight="1" x14ac:dyDescent="0.25">
      <c r="B10" s="21" t="s">
        <v>130</v>
      </c>
      <c r="C10" s="11"/>
      <c r="D10" s="11">
        <f>'B.3.Comptes passés &amp; en cours'!I11</f>
        <v>0</v>
      </c>
      <c r="E10" s="22"/>
      <c r="F10" s="22">
        <f>'B.3.Comptes passés &amp; en cours'!J11</f>
        <v>0</v>
      </c>
      <c r="G10" s="732"/>
      <c r="H10" s="729">
        <f>'B.3.Comptes passés &amp; en cours'!K11</f>
        <v>0</v>
      </c>
      <c r="I10" s="736"/>
      <c r="J10" s="736"/>
      <c r="K10" s="736"/>
      <c r="L10" s="736"/>
      <c r="M10" s="736"/>
      <c r="N10" s="736"/>
    </row>
    <row r="14" spans="1:14" x14ac:dyDescent="0.25">
      <c r="B14" s="2" t="s">
        <v>2</v>
      </c>
    </row>
    <row r="15" spans="1:14" ht="24" customHeight="1" x14ac:dyDescent="0.25">
      <c r="C15" s="730">
        <f>D15-1</f>
        <v>2014</v>
      </c>
      <c r="D15" s="730">
        <f>E15-1</f>
        <v>2015</v>
      </c>
      <c r="E15" s="731">
        <f>'A.1.Présentation structure'!C22</f>
        <v>2016</v>
      </c>
      <c r="F15" s="731">
        <f>E15+1</f>
        <v>2017</v>
      </c>
      <c r="G15" s="731">
        <f>F15+1</f>
        <v>2018</v>
      </c>
      <c r="H15" s="731">
        <f>G15+1</f>
        <v>2019</v>
      </c>
    </row>
    <row r="16" spans="1:14" s="265" customFormat="1" ht="24" customHeight="1" x14ac:dyDescent="0.25">
      <c r="B16" s="23" t="s">
        <v>126</v>
      </c>
      <c r="C16" s="28">
        <f>'B.3.Comptes passés &amp; en cours'!I8</f>
        <v>0</v>
      </c>
      <c r="D16" s="28">
        <f>'B.3.Comptes passés &amp; en cours'!J8</f>
        <v>0</v>
      </c>
      <c r="E16" s="28">
        <f>'B.3.Comptes passés &amp; en cours'!K8</f>
        <v>0</v>
      </c>
      <c r="F16" s="28">
        <f>'D.10.Synthèse éco&amp;fi'!$F$23</f>
        <v>0</v>
      </c>
      <c r="G16" s="28">
        <f>'D.10.Synthèse éco&amp;fi'!$G$23</f>
        <v>0</v>
      </c>
      <c r="H16" s="28">
        <f>'D.10.Synthèse éco&amp;fi'!$H$23</f>
        <v>0</v>
      </c>
    </row>
    <row r="17" spans="1:8" ht="24" customHeight="1" x14ac:dyDescent="0.25">
      <c r="A17" s="265"/>
      <c r="B17" s="266" t="s">
        <v>127</v>
      </c>
      <c r="C17" s="28">
        <f>'B.3.Comptes passés &amp; en cours'!I8+'B.3.Comptes passés &amp; en cours'!I9+'B.3.Comptes passés &amp; en cours'!I10-'B.3.Comptes passés &amp; en cours'!C8</f>
        <v>0</v>
      </c>
      <c r="D17" s="28">
        <f>'B.3.Comptes passés &amp; en cours'!J8+'B.3.Comptes passés &amp; en cours'!J9+'B.3.Comptes passés &amp; en cours'!J10-'B.3.Comptes passés &amp; en cours'!D8</f>
        <v>0</v>
      </c>
      <c r="E17" s="28">
        <f>'B.3.Comptes passés &amp; en cours'!K8+'B.3.Comptes passés &amp; en cours'!K9+'B.3.Comptes passés &amp; en cours'!K10-'B.3.Comptes passés &amp; en cours'!E8</f>
        <v>0</v>
      </c>
      <c r="F17" s="728">
        <f>'D.10.Synthèse éco&amp;fi'!$F$24</f>
        <v>0</v>
      </c>
      <c r="G17" s="728">
        <f>'D.10.Synthèse éco&amp;fi'!$G$24</f>
        <v>0</v>
      </c>
      <c r="H17" s="728">
        <f>'D.10.Synthèse éco&amp;fi'!$H$24</f>
        <v>0</v>
      </c>
    </row>
    <row r="18" spans="1:8" ht="24" customHeight="1" x14ac:dyDescent="0.25">
      <c r="B18" s="23" t="s">
        <v>128</v>
      </c>
      <c r="C18" s="24">
        <f>'B.3.Comptes passés &amp; en cours'!C13-'B.3.Comptes passés &amp; en cours'!C11-('B.3.Comptes passés &amp; en cours'!I11-'B.3.Comptes passés &amp; en cours'!I15)</f>
        <v>0</v>
      </c>
      <c r="D18" s="24">
        <f>'B.3.Comptes passés &amp; en cours'!D13-'B.3.Comptes passés &amp; en cours'!D11-('B.3.Comptes passés &amp; en cours'!J11-'B.3.Comptes passés &amp; en cours'!J15)</f>
        <v>0</v>
      </c>
      <c r="E18" s="24">
        <f>'B.3.Comptes passés &amp; en cours'!E13-'B.3.Comptes passés &amp; en cours'!E11-('B.3.Comptes passés &amp; en cours'!K11-'B.3.Comptes passés &amp; en cours'!K15)</f>
        <v>0</v>
      </c>
      <c r="F18" s="729">
        <f>'D.10.Synthèse éco&amp;fi'!$F$25</f>
        <v>0</v>
      </c>
      <c r="G18" s="729">
        <f>'D.10.Synthèse éco&amp;fi'!$G$25</f>
        <v>0</v>
      </c>
      <c r="H18" s="729">
        <f>'D.10.Synthèse éco&amp;fi'!$H$25</f>
        <v>0</v>
      </c>
    </row>
    <row r="19" spans="1:8" ht="24" customHeight="1" x14ac:dyDescent="0.25">
      <c r="B19" s="23" t="s">
        <v>129</v>
      </c>
      <c r="C19" s="24">
        <f>C17-C18</f>
        <v>0</v>
      </c>
      <c r="D19" s="24">
        <f>D17-D18</f>
        <v>0</v>
      </c>
      <c r="E19" s="24">
        <f>E17-E18</f>
        <v>0</v>
      </c>
      <c r="F19" s="729">
        <f>'D.10.Synthèse éco&amp;fi'!$F$26</f>
        <v>0</v>
      </c>
      <c r="G19" s="729">
        <f>'D.10.Synthèse éco&amp;fi'!$G$26</f>
        <v>0</v>
      </c>
      <c r="H19" s="729">
        <f>'D.10.Synthèse éco&amp;fi'!$H$26</f>
        <v>0</v>
      </c>
    </row>
    <row r="20" spans="1:8" s="250" customFormat="1" ht="24" customHeight="1" x14ac:dyDescent="0.25">
      <c r="B20" s="10"/>
      <c r="C20" s="29"/>
      <c r="D20" s="29"/>
      <c r="E20" s="29"/>
    </row>
    <row r="21" spans="1:8" s="265" customFormat="1" ht="24" customHeight="1" x14ac:dyDescent="0.25">
      <c r="B21" s="10"/>
      <c r="C21" s="29"/>
      <c r="D21" s="29"/>
      <c r="E21" s="29"/>
    </row>
    <row r="22" spans="1:8" s="265" customFormat="1" ht="24" customHeight="1" x14ac:dyDescent="0.25">
      <c r="B22" s="262" t="s">
        <v>39</v>
      </c>
      <c r="C22" s="29"/>
      <c r="D22" s="29"/>
      <c r="E22" s="29"/>
    </row>
    <row r="23" spans="1:8" ht="24.75" customHeight="1" x14ac:dyDescent="0.25">
      <c r="C23" s="267">
        <f>D23-1</f>
        <v>2014</v>
      </c>
      <c r="D23" s="267">
        <f>E23-1</f>
        <v>2015</v>
      </c>
      <c r="E23" s="267">
        <f>'A.1.Présentation structure'!C22</f>
        <v>2016</v>
      </c>
      <c r="F23" s="267">
        <f>E23+1</f>
        <v>2017</v>
      </c>
      <c r="G23" s="267">
        <f>F23+1</f>
        <v>2018</v>
      </c>
      <c r="H23" s="267">
        <f>G23+1</f>
        <v>2019</v>
      </c>
    </row>
    <row r="24" spans="1:8" s="250" customFormat="1" ht="24.75" customHeight="1" x14ac:dyDescent="0.25">
      <c r="B24" s="264" t="s">
        <v>38</v>
      </c>
      <c r="C24" s="24">
        <f>'B.3.Comptes passés &amp; en cours'!I33</f>
        <v>0</v>
      </c>
      <c r="D24" s="24">
        <f>'B.3.Comptes passés &amp; en cours'!J33</f>
        <v>0</v>
      </c>
      <c r="E24" s="24">
        <f>'B.3.Comptes passés &amp; en cours'!K33</f>
        <v>0</v>
      </c>
      <c r="F24" s="24">
        <f>'B.3.Comptes passés &amp; en cours'!G59</f>
        <v>0</v>
      </c>
      <c r="G24" s="24">
        <f>'7.Budgets prévisionnels'!F16</f>
        <v>0</v>
      </c>
      <c r="H24" s="24">
        <f>'7.Budgets prévisionnels'!G16</f>
        <v>0</v>
      </c>
    </row>
    <row r="25" spans="1:8" s="250" customFormat="1" ht="24.75" customHeight="1" x14ac:dyDescent="0.25">
      <c r="B25" s="23" t="s">
        <v>260</v>
      </c>
      <c r="C25" s="24">
        <f>'B.3.Comptes passés &amp; en cours'!C42</f>
        <v>0</v>
      </c>
      <c r="D25" s="24">
        <f>'B.3.Comptes passés &amp; en cours'!D42</f>
        <v>0</v>
      </c>
      <c r="E25" s="24">
        <f>'B.3.Comptes passés &amp; en cours'!E42</f>
        <v>0</v>
      </c>
      <c r="F25" s="24">
        <f>'B.3.Comptes passés &amp; en cours'!G79</f>
        <v>0</v>
      </c>
      <c r="G25" s="24">
        <f>'7.Budgets prévisionnels'!F37</f>
        <v>0</v>
      </c>
      <c r="H25" s="24">
        <f>'7.Budgets prévisionnels'!G37</f>
        <v>0</v>
      </c>
    </row>
    <row r="26" spans="1:8" s="250" customFormat="1" x14ac:dyDescent="0.25"/>
    <row r="28" spans="1:8" ht="24" customHeight="1" x14ac:dyDescent="0.25">
      <c r="A28" s="261" t="s">
        <v>511</v>
      </c>
      <c r="B28" s="10"/>
      <c r="C28" s="29"/>
      <c r="D28" s="10"/>
      <c r="E28" s="29"/>
      <c r="F28" s="10"/>
      <c r="G28" s="29"/>
      <c r="H28" s="10"/>
    </row>
    <row r="29" spans="1:8" s="1385" customFormat="1" ht="24" customHeight="1" x14ac:dyDescent="0.25">
      <c r="A29" s="1606" t="s">
        <v>512</v>
      </c>
      <c r="B29" s="10"/>
      <c r="C29" s="29"/>
      <c r="D29" s="10"/>
      <c r="E29" s="29"/>
      <c r="F29" s="10"/>
      <c r="G29" s="29"/>
      <c r="H29" s="10"/>
    </row>
    <row r="30" spans="1:8" s="1385" customFormat="1" ht="24" customHeight="1" x14ac:dyDescent="0.25">
      <c r="A30" s="261"/>
      <c r="B30" s="10"/>
      <c r="C30" s="29"/>
      <c r="D30" s="10"/>
      <c r="E30" s="29"/>
      <c r="F30" s="10"/>
      <c r="G30" s="29"/>
      <c r="H30" s="10"/>
    </row>
    <row r="31" spans="1:8" ht="24" customHeight="1" x14ac:dyDescent="0.25">
      <c r="B31" s="10"/>
      <c r="C31" s="29"/>
      <c r="D31" s="10"/>
      <c r="E31" s="29"/>
      <c r="F31" s="10"/>
      <c r="G31" s="29"/>
      <c r="H31" s="10"/>
    </row>
    <row r="32" spans="1:8" ht="24" customHeight="1" x14ac:dyDescent="0.25">
      <c r="A32" s="261" t="s">
        <v>1</v>
      </c>
      <c r="B32" s="10"/>
      <c r="C32" s="29"/>
      <c r="D32" s="10"/>
      <c r="E32" s="29"/>
      <c r="F32" s="10"/>
      <c r="G32" s="29"/>
      <c r="H32" s="10"/>
    </row>
    <row r="33" spans="2:17" ht="24" customHeight="1" x14ac:dyDescent="0.25">
      <c r="B33" s="10"/>
      <c r="C33" s="29"/>
      <c r="D33" s="10"/>
      <c r="E33" s="29"/>
      <c r="F33" s="10"/>
      <c r="G33" s="29"/>
      <c r="H33" s="10"/>
    </row>
    <row r="34" spans="2:17" ht="24" customHeight="1" x14ac:dyDescent="0.25">
      <c r="B34" s="856" t="s">
        <v>144</v>
      </c>
      <c r="C34" s="29"/>
      <c r="D34" s="10"/>
      <c r="E34" s="29"/>
      <c r="F34" s="10"/>
      <c r="G34" s="29"/>
      <c r="H34" s="10"/>
    </row>
    <row r="35" spans="2:17" ht="24" customHeight="1" x14ac:dyDescent="0.25">
      <c r="B35" s="10"/>
      <c r="C35" s="26">
        <f>F35-1</f>
        <v>2014</v>
      </c>
      <c r="D35" s="27">
        <f>F35-1</f>
        <v>2014</v>
      </c>
      <c r="E35" s="26">
        <f>G35-1</f>
        <v>2015</v>
      </c>
      <c r="F35" s="27">
        <f>H35-1</f>
        <v>2015</v>
      </c>
      <c r="G35" s="26">
        <f>'A.1.Présentation structure'!C22</f>
        <v>2016</v>
      </c>
      <c r="H35" s="27">
        <f>'A.1.Présentation structure'!C22</f>
        <v>2016</v>
      </c>
      <c r="I35" s="26">
        <f>+'A.1.Présentation structure'!C22+1</f>
        <v>2017</v>
      </c>
      <c r="J35" s="27">
        <f>'A.1.Présentation structure'!C22+1</f>
        <v>2017</v>
      </c>
      <c r="K35" s="26">
        <f>I35+1</f>
        <v>2018</v>
      </c>
      <c r="L35" s="27">
        <f>J35+1</f>
        <v>2018</v>
      </c>
      <c r="M35" s="26">
        <f>K35+1</f>
        <v>2019</v>
      </c>
      <c r="N35" s="27">
        <f>L35+1</f>
        <v>2019</v>
      </c>
    </row>
    <row r="36" spans="2:17" ht="24" customHeight="1" x14ac:dyDescent="0.25">
      <c r="B36" s="254" t="s">
        <v>332</v>
      </c>
      <c r="C36" s="24">
        <f>'B.3.Comptes passés &amp; en cours'!C27-'B.3.Comptes passés &amp; en cours'!C28+'B.3.Comptes passés &amp; en cours'!C29-'B.3.Comptes passés &amp; en cours'!C30</f>
        <v>0</v>
      </c>
      <c r="D36" s="30"/>
      <c r="E36" s="24">
        <f>'B.3.Comptes passés &amp; en cours'!D27-'B.3.Comptes passés &amp; en cours'!D28+'B.3.Comptes passés &amp; en cours'!D29-'B.3.Comptes passés &amp; en cours'!D30</f>
        <v>0</v>
      </c>
      <c r="F36" s="30"/>
      <c r="G36" s="24">
        <f>'B.3.Comptes passés &amp; en cours'!E27-'B.3.Comptes passés &amp; en cours'!E28+'B.3.Comptes passés &amp; en cours'!E29-'B.3.Comptes passés &amp; en cours'!E30</f>
        <v>0</v>
      </c>
      <c r="H36" s="27"/>
      <c r="I36" s="24">
        <f>'B.3.Comptes passés &amp; en cours'!G68-'B.3.Comptes passés &amp; en cours'!G69+'B.3.Comptes passés &amp; en cours'!G70-'B.3.Comptes passés &amp; en cours'!G71</f>
        <v>0</v>
      </c>
      <c r="J36" s="27"/>
      <c r="K36" s="24">
        <f>'7.Budgets prévisionnels'!F25-'7.Budgets prévisionnels'!F26+'7.Budgets prévisionnels'!F27-'7.Budgets prévisionnels'!F28</f>
        <v>0</v>
      </c>
      <c r="L36" s="27"/>
      <c r="M36" s="24">
        <f>'7.Budgets prévisionnels'!G25-'7.Budgets prévisionnels'!G26+'7.Budgets prévisionnels'!G27-'7.Budgets prévisionnels'!G28</f>
        <v>0</v>
      </c>
      <c r="N36" s="27"/>
    </row>
    <row r="37" spans="2:17" ht="24" customHeight="1" x14ac:dyDescent="0.25">
      <c r="B37" s="23" t="s">
        <v>139</v>
      </c>
      <c r="C37" s="24">
        <f>'B.3.Comptes passés &amp; en cours'!C25+'B.3.Comptes passés &amp; en cours'!C26+'B.3.Comptes passés &amp; en cours'!C31+'B.3.Comptes passés &amp; en cours'!C32</f>
        <v>0</v>
      </c>
      <c r="D37" s="30"/>
      <c r="E37" s="24">
        <f>'B.3.Comptes passés &amp; en cours'!D25+'B.3.Comptes passés &amp; en cours'!D26+'B.3.Comptes passés &amp; en cours'!D31+'B.3.Comptes passés &amp; en cours'!D32</f>
        <v>0</v>
      </c>
      <c r="F37" s="30"/>
      <c r="G37" s="24">
        <f>'B.3.Comptes passés &amp; en cours'!E25+'B.3.Comptes passés &amp; en cours'!E26+'B.3.Comptes passés &amp; en cours'!E31+'B.3.Comptes passés &amp; en cours'!E32</f>
        <v>0</v>
      </c>
      <c r="H37" s="27"/>
      <c r="I37" s="24">
        <f>'B.3.Comptes passés &amp; en cours'!G66+'B.3.Comptes passés &amp; en cours'!G67+'B.3.Comptes passés &amp; en cours'!G72+'B.3.Comptes passés &amp; en cours'!G73</f>
        <v>0</v>
      </c>
      <c r="J37" s="27"/>
      <c r="K37" s="24">
        <f>'7.Budgets prévisionnels'!F23+'7.Budgets prévisionnels'!F24+'7.Budgets prévisionnels'!F29+'7.Budgets prévisionnels'!F31</f>
        <v>0</v>
      </c>
      <c r="L37" s="27"/>
      <c r="M37" s="24">
        <f>'7.Budgets prévisionnels'!G22+'7.Budgets prévisionnels'!G23+'7.Budgets prévisionnels'!G29+'7.Budgets prévisionnels'!G31</f>
        <v>0</v>
      </c>
      <c r="N37" s="27"/>
    </row>
    <row r="38" spans="2:17" ht="24" customHeight="1" x14ac:dyDescent="0.25">
      <c r="B38" s="254" t="s">
        <v>16</v>
      </c>
      <c r="C38" s="24">
        <f>'B.3.Comptes passés &amp; en cours'!C24+'B.3.Comptes passés &amp; en cours'!C28+'B.3.Comptes passés &amp; en cours'!C30</f>
        <v>0</v>
      </c>
      <c r="D38" s="30"/>
      <c r="E38" s="24">
        <f>'B.3.Comptes passés &amp; en cours'!D24+'B.3.Comptes passés &amp; en cours'!D28+'B.3.Comptes passés &amp; en cours'!D30</f>
        <v>0</v>
      </c>
      <c r="F38" s="30"/>
      <c r="G38" s="24">
        <f>'B.3.Comptes passés &amp; en cours'!E24+'B.3.Comptes passés &amp; en cours'!E28+'B.3.Comptes passés &amp; en cours'!E30</f>
        <v>0</v>
      </c>
      <c r="H38" s="27"/>
      <c r="I38" s="24">
        <f>'B.3.Comptes passés &amp; en cours'!G65+'B.3.Comptes passés &amp; en cours'!G69+'B.3.Comptes passés &amp; en cours'!G71</f>
        <v>0</v>
      </c>
      <c r="J38" s="27"/>
      <c r="K38" s="24">
        <f>'7.Budgets prévisionnels'!F22+'7.Budgets prévisionnels'!F26+'7.Budgets prévisionnels'!F28</f>
        <v>0</v>
      </c>
      <c r="L38" s="27"/>
      <c r="M38" s="24">
        <f>'7.Budgets prévisionnels'!G22+'7.Budgets prévisionnels'!G26+'7.Budgets prévisionnels'!G28</f>
        <v>0</v>
      </c>
      <c r="N38" s="27"/>
    </row>
    <row r="39" spans="2:17" ht="24" customHeight="1" x14ac:dyDescent="0.25">
      <c r="B39" s="23" t="s">
        <v>141</v>
      </c>
      <c r="C39" s="24">
        <f>'B.3.Comptes passés &amp; en cours'!C34+'B.3.Comptes passés &amp; en cours'!C35+'B.3.Comptes passés &amp; en cours'!C36</f>
        <v>0</v>
      </c>
      <c r="D39" s="30"/>
      <c r="E39" s="24">
        <f>'B.3.Comptes passés &amp; en cours'!D34+'B.3.Comptes passés &amp; en cours'!D35+'B.3.Comptes passés &amp; en cours'!D36</f>
        <v>0</v>
      </c>
      <c r="F39" s="30"/>
      <c r="G39" s="24">
        <f>'B.3.Comptes passés &amp; en cours'!E34+'B.3.Comptes passés &amp; en cours'!E35+'B.3.Comptes passés &amp; en cours'!E36</f>
        <v>0</v>
      </c>
      <c r="H39" s="27"/>
      <c r="I39" s="24">
        <f>'B.3.Comptes passés &amp; en cours'!G75+'B.3.Comptes passés &amp; en cours'!G76+'B.3.Comptes passés &amp; en cours'!G77</f>
        <v>0</v>
      </c>
      <c r="J39" s="27"/>
      <c r="K39" s="24">
        <f>'7.Budgets prévisionnels'!F33+'7.Budgets prévisionnels'!F34+'7.Budgets prévisionnels'!F35</f>
        <v>0</v>
      </c>
      <c r="L39" s="27"/>
      <c r="M39" s="24">
        <f>'7.Budgets prévisionnels'!G33+'7.Budgets prévisionnels'!G34+'7.Budgets prévisionnels'!G35</f>
        <v>0</v>
      </c>
      <c r="N39" s="27"/>
    </row>
    <row r="40" spans="2:17" ht="24" customHeight="1" x14ac:dyDescent="0.25">
      <c r="B40" s="254" t="s">
        <v>13</v>
      </c>
      <c r="C40" s="23"/>
      <c r="D40" s="28">
        <f>'B.3.Comptes passés &amp; en cours'!I24</f>
        <v>0</v>
      </c>
      <c r="E40" s="23"/>
      <c r="F40" s="28">
        <f>'B.3.Comptes passés &amp; en cours'!J24</f>
        <v>0</v>
      </c>
      <c r="G40" s="23"/>
      <c r="H40" s="24">
        <f>'B.3.Comptes passés &amp; en cours'!K24</f>
        <v>0</v>
      </c>
      <c r="I40" s="23"/>
      <c r="J40" s="24">
        <f>'B.3.Comptes passés &amp; en cours'!G50</f>
        <v>0</v>
      </c>
      <c r="K40" s="23"/>
      <c r="L40" s="24">
        <f>'7.Budgets prévisionnels'!F7</f>
        <v>0</v>
      </c>
      <c r="M40" s="23"/>
      <c r="N40" s="24">
        <f>'7.Budgets prévisionnels'!G7</f>
        <v>0</v>
      </c>
    </row>
    <row r="41" spans="2:17" ht="24" customHeight="1" x14ac:dyDescent="0.25">
      <c r="B41" s="254" t="s">
        <v>15</v>
      </c>
      <c r="C41" s="23"/>
      <c r="D41" s="24">
        <f>'B.3.Comptes passés &amp; en cours'!I25</f>
        <v>0</v>
      </c>
      <c r="E41" s="23"/>
      <c r="F41" s="24">
        <f>'B.3.Comptes passés &amp; en cours'!J25</f>
        <v>0</v>
      </c>
      <c r="G41" s="23"/>
      <c r="H41" s="24">
        <f>'B.3.Comptes passés &amp; en cours'!K25</f>
        <v>0</v>
      </c>
      <c r="I41" s="23"/>
      <c r="J41" s="24">
        <f>'B.3.Comptes passés &amp; en cours'!G51</f>
        <v>0</v>
      </c>
      <c r="K41" s="23"/>
      <c r="L41" s="24">
        <f>'7.Budgets prévisionnels'!F8</f>
        <v>0</v>
      </c>
      <c r="M41" s="23"/>
      <c r="N41" s="24">
        <f>'7.Budgets prévisionnels'!G8</f>
        <v>0</v>
      </c>
    </row>
    <row r="42" spans="2:17" ht="24" customHeight="1" x14ac:dyDescent="0.25">
      <c r="B42" s="23" t="s">
        <v>142</v>
      </c>
      <c r="C42" s="23"/>
      <c r="D42" s="24">
        <f>'B.3.Comptes passés &amp; en cours'!I26+'B.3.Comptes passés &amp; en cours'!I28</f>
        <v>0</v>
      </c>
      <c r="E42" s="23"/>
      <c r="F42" s="24">
        <f>'B.3.Comptes passés &amp; en cours'!J26+'B.3.Comptes passés &amp; en cours'!J28</f>
        <v>0</v>
      </c>
      <c r="G42" s="23"/>
      <c r="H42" s="24">
        <f>'B.3.Comptes passés &amp; en cours'!K26+'B.3.Comptes passés &amp; en cours'!K28</f>
        <v>0</v>
      </c>
      <c r="I42" s="23"/>
      <c r="J42" s="24">
        <f>'B.3.Comptes passés &amp; en cours'!G52+'B.3.Comptes passés &amp; en cours'!G54</f>
        <v>0</v>
      </c>
      <c r="K42" s="23"/>
      <c r="L42" s="24">
        <f>'7.Budgets prévisionnels'!F9+'7.Budgets prévisionnels'!F11</f>
        <v>0</v>
      </c>
      <c r="M42" s="23"/>
      <c r="N42" s="24">
        <f>'7.Budgets prévisionnels'!G9+'7.Budgets prévisionnels'!G11</f>
        <v>0</v>
      </c>
    </row>
    <row r="43" spans="2:17" ht="24" customHeight="1" x14ac:dyDescent="0.25">
      <c r="B43" s="23" t="s">
        <v>143</v>
      </c>
      <c r="C43" s="23"/>
      <c r="D43" s="24">
        <f>'B.3.Comptes passés &amp; en cours'!I27-'B.3.Comptes passés &amp; en cours'!I28+'B.3.Comptes passés &amp; en cours'!I31+'B.3.Comptes passés &amp; en cours'!I32+'B.3.Comptes passés &amp; en cours'!I34+'B.3.Comptes passés &amp; en cours'!I35+'B.3.Comptes passés &amp; en cours'!I36</f>
        <v>0</v>
      </c>
      <c r="E43" s="23"/>
      <c r="F43" s="24">
        <f>'B.3.Comptes passés &amp; en cours'!J27-'B.3.Comptes passés &amp; en cours'!J28+'B.3.Comptes passés &amp; en cours'!J31+'B.3.Comptes passés &amp; en cours'!J32+'B.3.Comptes passés &amp; en cours'!J34+'B.3.Comptes passés &amp; en cours'!J35+'B.3.Comptes passés &amp; en cours'!J36</f>
        <v>0</v>
      </c>
      <c r="G43" s="23"/>
      <c r="H43" s="24">
        <f>'B.3.Comptes passés &amp; en cours'!K27-'B.3.Comptes passés &amp; en cours'!K28+'B.3.Comptes passés &amp; en cours'!K31+'B.3.Comptes passés &amp; en cours'!K32+'B.3.Comptes passés &amp; en cours'!K34+'B.3.Comptes passés &amp; en cours'!K35+'B.3.Comptes passés &amp; en cours'!K36</f>
        <v>0</v>
      </c>
      <c r="I43" s="23"/>
      <c r="J43" s="24">
        <f>'B.3.Comptes passés &amp; en cours'!G53-'B.3.Comptes passés &amp; en cours'!G54+'B.3.Comptes passés &amp; en cours'!G57+'B.3.Comptes passés &amp; en cours'!G58+'B.3.Comptes passés &amp; en cours'!G60+'B.3.Comptes passés &amp; en cours'!G61+'B.3.Comptes passés &amp; en cours'!G63</f>
        <v>0</v>
      </c>
      <c r="K43" s="23"/>
      <c r="L43" s="24">
        <f>'7.Budgets prévisionnels'!F14+'7.Budgets prévisionnels'!F15+'7.Budgets prévisionnels'!F17+'7.Budgets prévisionnels'!F18+'7.Budgets prévisionnels'!F19+'7.Budgets prévisionnels'!F20</f>
        <v>0</v>
      </c>
      <c r="M43" s="23"/>
      <c r="N43" s="24">
        <f>'7.Budgets prévisionnels'!G14+'7.Budgets prévisionnels'!G15+'7.Budgets prévisionnels'!G17+'7.Budgets prévisionnels'!G18+'7.Budgets prévisionnels'!G19+'7.Budgets prévisionnels'!G20</f>
        <v>0</v>
      </c>
    </row>
    <row r="44" spans="2:17" ht="24" customHeight="1" x14ac:dyDescent="0.25">
      <c r="C44" s="255">
        <f>SUM(C36:C39)</f>
        <v>0</v>
      </c>
      <c r="F44" s="10"/>
      <c r="G44" s="10"/>
      <c r="H44" s="10"/>
    </row>
    <row r="45" spans="2:17" s="774" customFormat="1" ht="24" customHeight="1" x14ac:dyDescent="0.25">
      <c r="F45" s="10"/>
      <c r="G45" s="10"/>
      <c r="H45" s="10"/>
    </row>
    <row r="46" spans="2:17" s="774" customFormat="1" ht="24" customHeight="1" x14ac:dyDescent="0.25">
      <c r="B46" s="856" t="s">
        <v>507</v>
      </c>
      <c r="F46" s="10"/>
      <c r="G46" s="10"/>
      <c r="H46" s="10"/>
    </row>
    <row r="47" spans="2:17" s="774" customFormat="1" ht="24" customHeight="1" x14ac:dyDescent="0.25">
      <c r="C47" s="267">
        <f>D47-1</f>
        <v>2014</v>
      </c>
      <c r="D47" s="267">
        <f>E47-1</f>
        <v>2015</v>
      </c>
      <c r="E47" s="267">
        <f>'A.1.Présentation structure'!C22</f>
        <v>2016</v>
      </c>
      <c r="F47" s="267">
        <f>E47+1</f>
        <v>2017</v>
      </c>
      <c r="G47" s="267">
        <f>F47+1</f>
        <v>2018</v>
      </c>
      <c r="H47" s="267">
        <f>G47+1</f>
        <v>2019</v>
      </c>
      <c r="J47" s="2248" t="s">
        <v>500</v>
      </c>
      <c r="K47" s="2248"/>
      <c r="L47" s="2248"/>
      <c r="M47" s="2248"/>
      <c r="N47" s="2248"/>
      <c r="O47" s="2248"/>
      <c r="P47" s="2248"/>
      <c r="Q47" s="2248"/>
    </row>
    <row r="48" spans="2:17" s="774" customFormat="1" ht="24" customHeight="1" x14ac:dyDescent="0.25">
      <c r="B48" s="808" t="s">
        <v>138</v>
      </c>
      <c r="C48" s="24">
        <f>'B.3.Comptes passés &amp; en cours'!C27-'B.3.Comptes passés &amp; en cours'!C28+'B.3.Comptes passés &amp; en cours'!C29-'B.3.Comptes passés &amp; en cours'!C30</f>
        <v>0</v>
      </c>
      <c r="D48" s="24">
        <f>'B.3.Comptes passés &amp; en cours'!D27-'B.3.Comptes passés &amp; en cours'!D28+'B.3.Comptes passés &amp; en cours'!D29-'B.3.Comptes passés &amp; en cours'!D30</f>
        <v>0</v>
      </c>
      <c r="E48" s="24">
        <f>'B.3.Comptes passés &amp; en cours'!E27-'B.3.Comptes passés &amp; en cours'!E28+'B.3.Comptes passés &amp; en cours'!E29-'B.3.Comptes passés &amp; en cours'!E30</f>
        <v>0</v>
      </c>
      <c r="F48" s="23">
        <f>'B.3.Comptes passés &amp; en cours'!G68-'B.3.Comptes passés &amp; en cours'!G69+'B.3.Comptes passés &amp; en cours'!G70-'B.3.Comptes passés &amp; en cours'!G71</f>
        <v>0</v>
      </c>
      <c r="G48" s="24">
        <f>'7.Budgets prévisionnels'!F25-'7.Budgets prévisionnels'!F26+'7.Budgets prévisionnels'!F27-'7.Budgets prévisionnels'!F28</f>
        <v>0</v>
      </c>
      <c r="H48" s="24">
        <f>'7.Budgets prévisionnels'!G25-'7.Budgets prévisionnels'!G26+'7.Budgets prévisionnels'!G27-'7.Budgets prévisionnels'!G28</f>
        <v>0</v>
      </c>
      <c r="J48" s="2248"/>
      <c r="K48" s="2248"/>
      <c r="L48" s="2248"/>
      <c r="M48" s="2248"/>
      <c r="N48" s="2248"/>
      <c r="O48" s="2248"/>
      <c r="P48" s="2248"/>
      <c r="Q48" s="2248"/>
    </row>
    <row r="49" spans="1:12" s="774" customFormat="1" ht="24" customHeight="1" x14ac:dyDescent="0.25">
      <c r="B49" s="264" t="s">
        <v>139</v>
      </c>
      <c r="C49" s="24">
        <f>'B.3.Comptes passés &amp; en cours'!C25+'B.3.Comptes passés &amp; en cours'!C26+'B.3.Comptes passés &amp; en cours'!C31+'B.3.Comptes passés &amp; en cours'!C32</f>
        <v>0</v>
      </c>
      <c r="D49" s="24">
        <f>'B.3.Comptes passés &amp; en cours'!D25+'B.3.Comptes passés &amp; en cours'!D26+'B.3.Comptes passés &amp; en cours'!D31+'B.3.Comptes passés &amp; en cours'!D32</f>
        <v>0</v>
      </c>
      <c r="E49" s="24">
        <f>'B.3.Comptes passés &amp; en cours'!E25+'B.3.Comptes passés &amp; en cours'!E26+'B.3.Comptes passés &amp; en cours'!E31+'B.3.Comptes passés &amp; en cours'!E32</f>
        <v>0</v>
      </c>
      <c r="F49" s="23">
        <f>'B.3.Comptes passés &amp; en cours'!G66+'B.3.Comptes passés &amp; en cours'!G67+'B.3.Comptes passés &amp; en cours'!G72+'B.3.Comptes passés &amp; en cours'!G73</f>
        <v>0</v>
      </c>
      <c r="G49" s="24">
        <f>'7.Budgets prévisionnels'!F23+'7.Budgets prévisionnels'!F24+'7.Budgets prévisionnels'!F29+'7.Budgets prévisionnels'!F31</f>
        <v>0</v>
      </c>
      <c r="H49" s="24">
        <f>'7.Budgets prévisionnels'!G22+'7.Budgets prévisionnels'!G23+'7.Budgets prévisionnels'!G29+'7.Budgets prévisionnels'!G31</f>
        <v>0</v>
      </c>
    </row>
    <row r="50" spans="1:12" s="774" customFormat="1" ht="24" customHeight="1" x14ac:dyDescent="0.25">
      <c r="B50" s="808" t="s">
        <v>140</v>
      </c>
      <c r="C50" s="24">
        <f>'B.3.Comptes passés &amp; en cours'!C24+'B.3.Comptes passés &amp; en cours'!C28+'B.3.Comptes passés &amp; en cours'!C30</f>
        <v>0</v>
      </c>
      <c r="D50" s="24">
        <f>'B.3.Comptes passés &amp; en cours'!D24+'B.3.Comptes passés &amp; en cours'!D28+'B.3.Comptes passés &amp; en cours'!D30</f>
        <v>0</v>
      </c>
      <c r="E50" s="24">
        <f>'B.3.Comptes passés &amp; en cours'!E24+'B.3.Comptes passés &amp; en cours'!E28+'B.3.Comptes passés &amp; en cours'!E30</f>
        <v>0</v>
      </c>
      <c r="F50" s="23">
        <f>'B.3.Comptes passés &amp; en cours'!G65+'B.3.Comptes passés &amp; en cours'!G69+'B.3.Comptes passés &amp; en cours'!G71</f>
        <v>0</v>
      </c>
      <c r="G50" s="24">
        <f>'7.Budgets prévisionnels'!F22+'7.Budgets prévisionnels'!F26+'7.Budgets prévisionnels'!F28</f>
        <v>0</v>
      </c>
      <c r="H50" s="24">
        <f>'7.Budgets prévisionnels'!G22+'7.Budgets prévisionnels'!G26+'7.Budgets prévisionnels'!G28</f>
        <v>0</v>
      </c>
    </row>
    <row r="51" spans="1:12" s="774" customFormat="1" ht="24" customHeight="1" x14ac:dyDescent="0.25">
      <c r="B51" s="264" t="s">
        <v>141</v>
      </c>
      <c r="C51" s="24">
        <f>'B.3.Comptes passés &amp; en cours'!C34+'B.3.Comptes passés &amp; en cours'!C35+'B.3.Comptes passés &amp; en cours'!C36</f>
        <v>0</v>
      </c>
      <c r="D51" s="24">
        <f>'B.3.Comptes passés &amp; en cours'!D34+'B.3.Comptes passés &amp; en cours'!D35+'B.3.Comptes passés &amp; en cours'!D36</f>
        <v>0</v>
      </c>
      <c r="E51" s="24">
        <f>'B.3.Comptes passés &amp; en cours'!E34+'B.3.Comptes passés &amp; en cours'!E35+'B.3.Comptes passés &amp; en cours'!E36</f>
        <v>0</v>
      </c>
      <c r="F51" s="23">
        <f>'B.3.Comptes passés &amp; en cours'!G75+'B.3.Comptes passés &amp; en cours'!G76+'B.3.Comptes passés &amp; en cours'!G77</f>
        <v>0</v>
      </c>
      <c r="G51" s="24">
        <f>'7.Budgets prévisionnels'!F33+'7.Budgets prévisionnels'!F34+'7.Budgets prévisionnels'!F35</f>
        <v>0</v>
      </c>
      <c r="H51" s="24">
        <f>'7.Budgets prévisionnels'!G33+'7.Budgets prévisionnels'!G34+'7.Budgets prévisionnels'!G35</f>
        <v>0</v>
      </c>
    </row>
    <row r="52" spans="1:12" s="774" customFormat="1" ht="24" customHeight="1" x14ac:dyDescent="0.25">
      <c r="B52" s="856" t="s">
        <v>428</v>
      </c>
      <c r="F52" s="10"/>
      <c r="G52" s="10"/>
      <c r="H52" s="10"/>
    </row>
    <row r="53" spans="1:12" s="774" customFormat="1" ht="24" customHeight="1" x14ac:dyDescent="0.25">
      <c r="C53" s="267">
        <f>D53-1</f>
        <v>2014</v>
      </c>
      <c r="D53" s="267">
        <f>E53-1</f>
        <v>2015</v>
      </c>
      <c r="E53" s="267">
        <f>'A.1.Présentation structure'!C22</f>
        <v>2016</v>
      </c>
      <c r="F53" s="267">
        <f>E53+1</f>
        <v>2017</v>
      </c>
      <c r="G53" s="267">
        <f>F53+1</f>
        <v>2018</v>
      </c>
      <c r="H53" s="809">
        <f>G53+1</f>
        <v>2019</v>
      </c>
    </row>
    <row r="54" spans="1:12" s="774" customFormat="1" ht="24" customHeight="1" x14ac:dyDescent="0.25">
      <c r="B54" s="254" t="s">
        <v>13</v>
      </c>
      <c r="C54" s="24">
        <f>'B.3.Comptes passés &amp; en cours'!I24</f>
        <v>0</v>
      </c>
      <c r="D54" s="24">
        <f>'B.3.Comptes passés &amp; en cours'!J24</f>
        <v>0</v>
      </c>
      <c r="E54" s="24">
        <f>'B.3.Comptes passés &amp; en cours'!K24</f>
        <v>0</v>
      </c>
      <c r="F54" s="23">
        <f>'B.3.Comptes passés &amp; en cours'!G50</f>
        <v>0</v>
      </c>
      <c r="G54" s="24">
        <f>'7.Budgets prévisionnels'!F7</f>
        <v>0</v>
      </c>
      <c r="H54" s="810">
        <f>'7.Budgets prévisionnels'!G7</f>
        <v>0</v>
      </c>
    </row>
    <row r="55" spans="1:12" s="774" customFormat="1" ht="24" customHeight="1" x14ac:dyDescent="0.25">
      <c r="B55" s="254" t="s">
        <v>14</v>
      </c>
      <c r="C55" s="24">
        <f>'B.3.Comptes passés &amp; en cours'!I25</f>
        <v>0</v>
      </c>
      <c r="D55" s="24">
        <f>'B.3.Comptes passés &amp; en cours'!J25</f>
        <v>0</v>
      </c>
      <c r="E55" s="24">
        <f>'B.3.Comptes passés &amp; en cours'!K25</f>
        <v>0</v>
      </c>
      <c r="F55" s="23">
        <f>'B.3.Comptes passés &amp; en cours'!G51</f>
        <v>0</v>
      </c>
      <c r="G55" s="24">
        <f>'7.Budgets prévisionnels'!F8</f>
        <v>0</v>
      </c>
      <c r="H55" s="24">
        <f>'7.Budgets prévisionnels'!G8</f>
        <v>0</v>
      </c>
    </row>
    <row r="56" spans="1:12" s="774" customFormat="1" ht="24" customHeight="1" x14ac:dyDescent="0.25">
      <c r="B56" s="23" t="s">
        <v>142</v>
      </c>
      <c r="C56" s="24">
        <f>'B.3.Comptes passés &amp; en cours'!I26+'B.3.Comptes passés &amp; en cours'!I28</f>
        <v>0</v>
      </c>
      <c r="D56" s="24">
        <f>'B.3.Comptes passés &amp; en cours'!J26+'B.3.Comptes passés &amp; en cours'!J28</f>
        <v>0</v>
      </c>
      <c r="E56" s="24">
        <f>'B.3.Comptes passés &amp; en cours'!K26+'B.3.Comptes passés &amp; en cours'!K28</f>
        <v>0</v>
      </c>
      <c r="F56" s="23">
        <f>'B.3.Comptes passés &amp; en cours'!G52+'B.3.Comptes passés &amp; en cours'!G54</f>
        <v>0</v>
      </c>
      <c r="G56" s="24">
        <f>'7.Budgets prévisionnels'!F9+'7.Budgets prévisionnels'!F11</f>
        <v>0</v>
      </c>
      <c r="H56" s="24">
        <f>'7.Budgets prévisionnels'!G9+'7.Budgets prévisionnels'!G11</f>
        <v>0</v>
      </c>
    </row>
    <row r="57" spans="1:12" s="774" customFormat="1" ht="24" customHeight="1" x14ac:dyDescent="0.25">
      <c r="B57" s="23" t="s">
        <v>143</v>
      </c>
      <c r="C57" s="24">
        <f>'B.3.Comptes passés &amp; en cours'!I27-'B.3.Comptes passés &amp; en cours'!I28+'B.3.Comptes passés &amp; en cours'!I31+'B.3.Comptes passés &amp; en cours'!I32+'B.3.Comptes passés &amp; en cours'!I34+'B.3.Comptes passés &amp; en cours'!I35+'B.3.Comptes passés &amp; en cours'!I36</f>
        <v>0</v>
      </c>
      <c r="D57" s="24">
        <f>'B.3.Comptes passés &amp; en cours'!J27-'B.3.Comptes passés &amp; en cours'!J28+'B.3.Comptes passés &amp; en cours'!J31+'B.3.Comptes passés &amp; en cours'!J32+'B.3.Comptes passés &amp; en cours'!J34+'B.3.Comptes passés &amp; en cours'!J35+'B.3.Comptes passés &amp; en cours'!J36</f>
        <v>0</v>
      </c>
      <c r="E57" s="24">
        <f>'B.3.Comptes passés &amp; en cours'!K27-'B.3.Comptes passés &amp; en cours'!K28+'B.3.Comptes passés &amp; en cours'!K31+'B.3.Comptes passés &amp; en cours'!K32+'B.3.Comptes passés &amp; en cours'!K34+'B.3.Comptes passés &amp; en cours'!K35+'B.3.Comptes passés &amp; en cours'!K36</f>
        <v>0</v>
      </c>
      <c r="F57" s="23">
        <f>'B.3.Comptes passés &amp; en cours'!G53-'B.3.Comptes passés &amp; en cours'!G54+'B.3.Comptes passés &amp; en cours'!G57+'B.3.Comptes passés &amp; en cours'!G58+'B.3.Comptes passés &amp; en cours'!G60+'B.3.Comptes passés &amp; en cours'!G61+'B.3.Comptes passés &amp; en cours'!G63</f>
        <v>0</v>
      </c>
      <c r="G57" s="24">
        <f>'7.Budgets prévisionnels'!F14+'7.Budgets prévisionnels'!F15+'7.Budgets prévisionnels'!F17+'7.Budgets prévisionnels'!F18+'7.Budgets prévisionnels'!F19+'7.Budgets prévisionnels'!F20</f>
        <v>0</v>
      </c>
      <c r="H57" s="24">
        <f>'7.Budgets prévisionnels'!G14+'7.Budgets prévisionnels'!G15+'7.Budgets prévisionnels'!G17+'7.Budgets prévisionnels'!G18+'7.Budgets prévisionnels'!G19+'7.Budgets prévisionnels'!G20</f>
        <v>0</v>
      </c>
    </row>
    <row r="58" spans="1:12" s="774" customFormat="1" ht="24" customHeight="1" x14ac:dyDescent="0.25">
      <c r="F58" s="10"/>
      <c r="G58" s="10"/>
      <c r="H58" s="10"/>
    </row>
    <row r="59" spans="1:12" s="774" customFormat="1" ht="24" customHeight="1" x14ac:dyDescent="0.25">
      <c r="F59" s="10"/>
      <c r="G59" s="10"/>
      <c r="H59" s="10"/>
    </row>
    <row r="60" spans="1:12" ht="24" customHeight="1" x14ac:dyDescent="0.25">
      <c r="A60" s="261" t="s">
        <v>513</v>
      </c>
      <c r="G60" s="857"/>
    </row>
    <row r="61" spans="1:12" s="190" customFormat="1" ht="24" customHeight="1" x14ac:dyDescent="0.25">
      <c r="A61" s="261"/>
    </row>
    <row r="62" spans="1:12" ht="24" customHeight="1" x14ac:dyDescent="0.25"/>
    <row r="63" spans="1:12" s="1156" customFormat="1" x14ac:dyDescent="0.25">
      <c r="B63" s="260" t="s">
        <v>468</v>
      </c>
      <c r="C63" s="255"/>
      <c r="D63" s="255"/>
      <c r="E63" s="255"/>
      <c r="F63" s="255"/>
      <c r="G63" s="255"/>
      <c r="H63" s="255"/>
    </row>
    <row r="64" spans="1:12" s="1156" customFormat="1" ht="53.25" customHeight="1" x14ac:dyDescent="0.25">
      <c r="C64" s="1160" t="s">
        <v>460</v>
      </c>
      <c r="D64" s="1161" t="s">
        <v>461</v>
      </c>
      <c r="E64" s="1160" t="s">
        <v>462</v>
      </c>
      <c r="F64" s="1160" t="s">
        <v>467</v>
      </c>
      <c r="G64" s="1160" t="s">
        <v>463</v>
      </c>
      <c r="H64" s="1160" t="s">
        <v>464</v>
      </c>
      <c r="I64" s="1160" t="s">
        <v>465</v>
      </c>
      <c r="J64" s="1160" t="s">
        <v>466</v>
      </c>
      <c r="K64" s="1159"/>
      <c r="L64" s="1159"/>
    </row>
    <row r="65" spans="2:10" s="1156" customFormat="1" x14ac:dyDescent="0.25">
      <c r="B65" s="23">
        <f>'B.3.Comptes passés &amp; en cours'!C4</f>
        <v>2014</v>
      </c>
      <c r="C65" s="24">
        <f>'6.Détails activités passés'!C11</f>
        <v>0</v>
      </c>
      <c r="D65" s="24">
        <f>'C.4.Répartition effectifs'!M7</f>
        <v>0</v>
      </c>
      <c r="E65" s="24">
        <f>'6.Détails activités passés'!F11</f>
        <v>0</v>
      </c>
      <c r="F65" s="24">
        <f>'C.4.Répartition effectifs'!M8</f>
        <v>0</v>
      </c>
      <c r="G65" s="24">
        <f>'6.Détails activités passés'!I11</f>
        <v>0</v>
      </c>
      <c r="H65" s="24">
        <f>'C.4.Répartition effectifs'!M9</f>
        <v>0</v>
      </c>
      <c r="I65" s="24">
        <f>'6.Détails activités passés'!L11</f>
        <v>0</v>
      </c>
      <c r="J65" s="23">
        <f>'C.4.Répartition effectifs'!M10</f>
        <v>0</v>
      </c>
    </row>
    <row r="66" spans="2:10" s="1156" customFormat="1" x14ac:dyDescent="0.25">
      <c r="B66" s="23">
        <f>'B.3.Comptes passés &amp; en cours'!D4</f>
        <v>2015</v>
      </c>
      <c r="C66" s="24">
        <f>'6.Détails activités passés'!D11</f>
        <v>0</v>
      </c>
      <c r="D66" s="24">
        <f>'C.4.Répartition effectifs'!M20</f>
        <v>0</v>
      </c>
      <c r="E66" s="24">
        <f>'6.Détails activités passés'!G11</f>
        <v>0</v>
      </c>
      <c r="F66" s="24">
        <f>'C.4.Répartition effectifs'!M21</f>
        <v>0</v>
      </c>
      <c r="G66" s="24">
        <f>'6.Détails activités passés'!J11</f>
        <v>0</v>
      </c>
      <c r="H66" s="24">
        <f>'C.4.Répartition effectifs'!M22</f>
        <v>0</v>
      </c>
      <c r="I66" s="24">
        <f>'6.Détails activités passés'!M11</f>
        <v>0</v>
      </c>
      <c r="J66" s="23">
        <f>'C.4.Répartition effectifs'!M23</f>
        <v>0</v>
      </c>
    </row>
    <row r="67" spans="2:10" s="1156" customFormat="1" x14ac:dyDescent="0.25">
      <c r="B67" s="810">
        <f>'B.3.Comptes passés &amp; en cours'!E4</f>
        <v>2016</v>
      </c>
      <c r="C67" s="24">
        <f>'6.Détails activités passés'!E11</f>
        <v>0</v>
      </c>
      <c r="D67" s="24">
        <f>'C.4.Répartition effectifs'!M33</f>
        <v>0</v>
      </c>
      <c r="E67" s="24">
        <f>'6.Détails activités passés'!H11</f>
        <v>0</v>
      </c>
      <c r="F67" s="24">
        <f>'C.4.Répartition effectifs'!M34</f>
        <v>0</v>
      </c>
      <c r="G67" s="24">
        <f>'6.Détails activités passés'!K11</f>
        <v>0</v>
      </c>
      <c r="H67" s="24">
        <f>'C.4.Répartition effectifs'!M35</f>
        <v>0</v>
      </c>
      <c r="I67" s="24">
        <f>'6.Détails activités passés'!N11</f>
        <v>0</v>
      </c>
      <c r="J67" s="23">
        <f>'C.4.Répartition effectifs'!M36</f>
        <v>0</v>
      </c>
    </row>
    <row r="68" spans="2:10" s="1156" customFormat="1" x14ac:dyDescent="0.25">
      <c r="B68" s="23">
        <f>'7.Budgets prévisionnels'!E6</f>
        <v>2017</v>
      </c>
      <c r="C68" s="24">
        <f>'8.Détails activités prév.'!E11</f>
        <v>0</v>
      </c>
      <c r="D68" s="24">
        <f>'C.4.Répartition effectifs'!M46</f>
        <v>0</v>
      </c>
      <c r="E68" s="24">
        <f>'8.Détails activités prév.'!I11</f>
        <v>0</v>
      </c>
      <c r="F68" s="24">
        <f>'C.4.Répartition effectifs'!M47</f>
        <v>0</v>
      </c>
      <c r="G68" s="24">
        <f>'8.Détails activités prév.'!M11</f>
        <v>0</v>
      </c>
      <c r="H68" s="24">
        <f>'C.4.Répartition effectifs'!M48</f>
        <v>0</v>
      </c>
      <c r="I68" s="24">
        <f>'8.Détails activités prév.'!Q11</f>
        <v>0</v>
      </c>
      <c r="J68" s="23">
        <f>'C.4.Répartition effectifs'!M49</f>
        <v>0</v>
      </c>
    </row>
    <row r="69" spans="2:10" s="1156" customFormat="1" x14ac:dyDescent="0.25">
      <c r="B69" s="23">
        <f>'7.Budgets prévisionnels'!F6</f>
        <v>2018</v>
      </c>
      <c r="C69" s="24">
        <f>'8.Détails activités prév.'!F11</f>
        <v>0</v>
      </c>
      <c r="D69" s="24">
        <f>'C.4.Répartition effectifs'!M59</f>
        <v>0</v>
      </c>
      <c r="E69" s="24">
        <f>'8.Détails activités prév.'!J11</f>
        <v>0</v>
      </c>
      <c r="F69" s="24">
        <f>'C.4.Répartition effectifs'!M60</f>
        <v>0</v>
      </c>
      <c r="G69" s="24">
        <f>'8.Détails activités prév.'!N11</f>
        <v>0</v>
      </c>
      <c r="H69" s="24">
        <f>'C.4.Répartition effectifs'!M61</f>
        <v>0</v>
      </c>
      <c r="I69" s="24">
        <f>'8.Détails activités prév.'!R11</f>
        <v>0</v>
      </c>
      <c r="J69" s="23">
        <f>'C.4.Répartition effectifs'!M62</f>
        <v>0</v>
      </c>
    </row>
    <row r="70" spans="2:10" s="1156" customFormat="1" x14ac:dyDescent="0.25">
      <c r="B70" s="23">
        <f>'7.Budgets prévisionnels'!G6</f>
        <v>2019</v>
      </c>
      <c r="C70" s="24">
        <f>'8.Détails activités prév.'!G11</f>
        <v>0</v>
      </c>
      <c r="D70" s="24">
        <f>'C.4.Répartition effectifs'!M72</f>
        <v>0</v>
      </c>
      <c r="E70" s="24">
        <f>'8.Détails activités prév.'!K11</f>
        <v>0</v>
      </c>
      <c r="F70" s="24">
        <f>'C.4.Répartition effectifs'!M73</f>
        <v>0</v>
      </c>
      <c r="G70" s="24">
        <f>'8.Détails activités prév.'!O11</f>
        <v>0</v>
      </c>
      <c r="H70" s="24">
        <f>'C.4.Répartition effectifs'!M74</f>
        <v>0</v>
      </c>
      <c r="I70" s="24">
        <f>'8.Détails activités prév.'!S11</f>
        <v>0</v>
      </c>
      <c r="J70" s="23">
        <f>'C.4.Répartition effectifs'!M75</f>
        <v>0</v>
      </c>
    </row>
    <row r="71" spans="2:10" s="1156" customFormat="1" x14ac:dyDescent="0.25">
      <c r="C71" s="255"/>
      <c r="D71" s="255"/>
      <c r="E71" s="255"/>
      <c r="F71" s="255"/>
      <c r="G71" s="255"/>
      <c r="H71" s="255"/>
    </row>
    <row r="72" spans="2:10" s="1385" customFormat="1" x14ac:dyDescent="0.25">
      <c r="C72" s="255"/>
      <c r="D72" s="255"/>
      <c r="E72" s="255"/>
      <c r="F72" s="255"/>
      <c r="G72" s="255"/>
      <c r="H72" s="255"/>
    </row>
    <row r="73" spans="2:10" s="1385" customFormat="1" x14ac:dyDescent="0.25">
      <c r="B73" s="260" t="s">
        <v>509</v>
      </c>
      <c r="C73" s="255"/>
      <c r="D73" s="255"/>
      <c r="E73" s="255"/>
      <c r="F73" s="255"/>
      <c r="G73" s="255"/>
      <c r="H73" s="255"/>
    </row>
    <row r="74" spans="2:10" s="1385" customFormat="1" x14ac:dyDescent="0.25">
      <c r="C74" s="267">
        <f>D74-1</f>
        <v>2014</v>
      </c>
      <c r="D74" s="267">
        <f>E74-1</f>
        <v>2015</v>
      </c>
      <c r="E74" s="267">
        <f>'A.1.Présentation structure'!C22</f>
        <v>2016</v>
      </c>
      <c r="F74" s="267">
        <f>E74+1</f>
        <v>2017</v>
      </c>
      <c r="G74" s="267">
        <f>F74+1</f>
        <v>2018</v>
      </c>
      <c r="H74" s="267">
        <f>G74+1</f>
        <v>2019</v>
      </c>
    </row>
    <row r="75" spans="2:10" s="1385" customFormat="1" ht="30" x14ac:dyDescent="0.25">
      <c r="B75" s="1583" t="s">
        <v>295</v>
      </c>
      <c r="C75" s="24">
        <f>'6.Détails activités passés'!C14+'6.Détails activités passés'!C25</f>
        <v>0</v>
      </c>
      <c r="D75" s="24">
        <f>'6.Détails activités passés'!D14+'6.Détails activités passés'!D25</f>
        <v>0</v>
      </c>
      <c r="E75" s="24">
        <f>'6.Détails activités passés'!E14+'6.Détails activités passés'!E25</f>
        <v>0</v>
      </c>
      <c r="F75" s="24">
        <f>'8.Détails activités prév.'!E14+'8.Détails activités prév.'!E15</f>
        <v>0</v>
      </c>
      <c r="G75" s="24">
        <f>'8.Détails activités prév.'!F14+'8.Détails activités prév.'!F15</f>
        <v>0</v>
      </c>
      <c r="H75" s="24">
        <f>'8.Détails activités prév.'!G14+'8.Détails activités prév.'!G15</f>
        <v>0</v>
      </c>
    </row>
    <row r="76" spans="2:10" s="1385" customFormat="1" ht="30" x14ac:dyDescent="0.25">
      <c r="B76" s="1584" t="s">
        <v>296</v>
      </c>
      <c r="C76" s="24">
        <f>'6.Détails activités passés'!F14+'6.Détails activités passés'!F25</f>
        <v>0</v>
      </c>
      <c r="D76" s="24">
        <f>'6.Détails activités passés'!G14+'6.Détails activités passés'!G25</f>
        <v>0</v>
      </c>
      <c r="E76" s="24">
        <f>'6.Détails activités passés'!H14+'6.Détails activités passés'!H25</f>
        <v>0</v>
      </c>
      <c r="F76" s="24">
        <f>'8.Détails activités prév.'!I14+'8.Détails activités prév.'!I15</f>
        <v>0</v>
      </c>
      <c r="G76" s="24">
        <f>'8.Détails activités prév.'!J14+'8.Détails activités prév.'!J15</f>
        <v>0</v>
      </c>
      <c r="H76" s="24">
        <f>'8.Détails activités prév.'!K14+'8.Détails activités prév.'!K15</f>
        <v>0</v>
      </c>
    </row>
    <row r="77" spans="2:10" s="1385" customFormat="1" ht="30" x14ac:dyDescent="0.25">
      <c r="B77" s="1169" t="s">
        <v>101</v>
      </c>
      <c r="C77" s="24">
        <f>'6.Détails activités passés'!I14+'6.Détails activités passés'!I25</f>
        <v>0</v>
      </c>
      <c r="D77" s="24">
        <f>'6.Détails activités passés'!J14+'6.Détails activités passés'!J25</f>
        <v>0</v>
      </c>
      <c r="E77" s="24">
        <f>'6.Détails activités passés'!K14+'6.Détails activités passés'!K25</f>
        <v>0</v>
      </c>
      <c r="F77" s="24">
        <f>'8.Détails activités prév.'!M14+'8.Détails activités prév.'!M15</f>
        <v>0</v>
      </c>
      <c r="G77" s="24">
        <f>'8.Détails activités prév.'!N14+'8.Détails activités prév.'!N15</f>
        <v>0</v>
      </c>
      <c r="H77" s="24">
        <f>'8.Détails activités prév.'!O14+'8.Détails activités prév.'!O15</f>
        <v>0</v>
      </c>
    </row>
    <row r="78" spans="2:10" s="1385" customFormat="1" ht="30" x14ac:dyDescent="0.25">
      <c r="B78" s="1585" t="s">
        <v>299</v>
      </c>
      <c r="C78" s="24">
        <f>'6.Détails activités passés'!L14+'6.Détails activités passés'!L25</f>
        <v>0</v>
      </c>
      <c r="D78" s="24">
        <f>'6.Détails activités passés'!M14+'6.Détails activités passés'!M25</f>
        <v>0</v>
      </c>
      <c r="E78" s="24">
        <f>'6.Détails activités passés'!N14+'6.Détails activités passés'!N25</f>
        <v>0</v>
      </c>
      <c r="F78" s="24">
        <f>'8.Détails activités prév.'!Q14+'8.Détails activités prév.'!Q15</f>
        <v>0</v>
      </c>
      <c r="G78" s="24">
        <f>'8.Détails activités prév.'!R14+'8.Détails activités prév.'!R15</f>
        <v>0</v>
      </c>
      <c r="H78" s="24">
        <f>'8.Détails activités prév.'!S14+'8.Détails activités prév.'!S15</f>
        <v>0</v>
      </c>
    </row>
    <row r="79" spans="2:10" s="1385" customFormat="1" ht="30" customHeight="1" x14ac:dyDescent="0.25">
      <c r="B79" s="263" t="s">
        <v>498</v>
      </c>
      <c r="C79" s="24">
        <f>'6.Détails activités passés'!O14+'6.Détails activités passés'!O25</f>
        <v>0</v>
      </c>
      <c r="D79" s="24">
        <f>'6.Détails activités passés'!P14+'6.Détails activités passés'!P25</f>
        <v>0</v>
      </c>
      <c r="E79" s="24">
        <f>'6.Détails activités passés'!Q14+'6.Détails activités passés'!Q25</f>
        <v>0</v>
      </c>
      <c r="F79" s="24">
        <f>'8.Détails activités prév.'!U14+'8.Détails activités prév.'!U15</f>
        <v>0</v>
      </c>
      <c r="G79" s="24">
        <f>'8.Détails activités prév.'!V14+'8.Détails activités prév.'!V15</f>
        <v>0</v>
      </c>
      <c r="H79" s="24">
        <f>'8.Détails activités prév.'!W14+'8.Détails activités prév.'!W15</f>
        <v>0</v>
      </c>
    </row>
    <row r="80" spans="2:10" s="1385" customFormat="1" ht="30" customHeight="1" x14ac:dyDescent="0.25">
      <c r="B80" s="1582" t="s">
        <v>499</v>
      </c>
      <c r="C80" s="24">
        <f>'6.Détails activités passés'!R14+'6.Détails activités passés'!R25</f>
        <v>0</v>
      </c>
      <c r="D80" s="24">
        <f>'6.Détails activités passés'!S14+'6.Détails activités passés'!S25</f>
        <v>0</v>
      </c>
      <c r="E80" s="24">
        <f>'6.Détails activités passés'!T14+'6.Détails activités passés'!T25</f>
        <v>0</v>
      </c>
      <c r="F80" s="24">
        <f>'8.Détails activités prév.'!Y14+'8.Détails activités prév.'!Y15</f>
        <v>0</v>
      </c>
      <c r="G80" s="24">
        <f>'8.Détails activités prév.'!Z14+'8.Détails activités prév.'!Z15</f>
        <v>0</v>
      </c>
      <c r="H80" s="24">
        <f>'8.Détails activités prév.'!AA14+'8.Détails activités prév.'!AA15</f>
        <v>0</v>
      </c>
    </row>
    <row r="81" spans="2:10" s="1385" customFormat="1" ht="30" customHeight="1" x14ac:dyDescent="0.25">
      <c r="B81" s="1607" t="s">
        <v>71</v>
      </c>
      <c r="C81" s="24">
        <f>'6.Détails activités passés'!U14+'6.Détails activités passés'!U25</f>
        <v>0</v>
      </c>
      <c r="D81" s="24">
        <f>'6.Détails activités passés'!V14+'6.Détails activités passés'!V25</f>
        <v>0</v>
      </c>
      <c r="E81" s="24">
        <f>'6.Détails activités passés'!W14+'6.Détails activités passés'!W25</f>
        <v>0</v>
      </c>
      <c r="F81" s="24">
        <f>'8.Détails activités prév.'!AC14+'8.Détails activités prév.'!AC15</f>
        <v>0</v>
      </c>
      <c r="G81" s="24">
        <f>'8.Détails activités prév.'!AD14+'8.Détails activités prév.'!AD15</f>
        <v>0</v>
      </c>
      <c r="H81" s="24">
        <f>'8.Détails activités prév.'!AE14+'8.Détails activités prév.'!AE15</f>
        <v>0</v>
      </c>
    </row>
    <row r="82" spans="2:10" s="1385" customFormat="1" x14ac:dyDescent="0.25"/>
    <row r="84" spans="2:10" x14ac:dyDescent="0.25">
      <c r="D84" s="260" t="s">
        <v>3</v>
      </c>
      <c r="I84" s="10"/>
      <c r="J84" s="10"/>
    </row>
    <row r="85" spans="2:10" s="777" customFormat="1" ht="30" x14ac:dyDescent="0.25">
      <c r="B85" s="1583" t="s">
        <v>295</v>
      </c>
      <c r="F85" s="10"/>
      <c r="G85" s="10"/>
      <c r="H85" s="10"/>
      <c r="I85" s="10"/>
      <c r="J85" s="10"/>
    </row>
    <row r="86" spans="2:10" s="777" customFormat="1" x14ac:dyDescent="0.25">
      <c r="B86" s="856" t="s">
        <v>427</v>
      </c>
      <c r="C86" s="267">
        <f>D86-1</f>
        <v>2014</v>
      </c>
      <c r="D86" s="267">
        <f>E86-1</f>
        <v>2015</v>
      </c>
      <c r="E86" s="267">
        <f>'A.1.Présentation structure'!C22</f>
        <v>2016</v>
      </c>
      <c r="F86" s="267">
        <f>E86+1</f>
        <v>2017</v>
      </c>
      <c r="G86" s="267">
        <f>F86+1</f>
        <v>2018</v>
      </c>
      <c r="H86" s="267">
        <f>G86+1</f>
        <v>2019</v>
      </c>
      <c r="I86" s="10"/>
      <c r="J86" s="10"/>
    </row>
    <row r="87" spans="2:10" s="777" customFormat="1" x14ac:dyDescent="0.25">
      <c r="B87" s="808" t="s">
        <v>138</v>
      </c>
      <c r="C87" s="24">
        <f>'6.Détails activités passés'!C37+'6.Détails activités passés'!C41-'6.Détails activités passés'!C40-'6.Détails activités passés'!C44</f>
        <v>0</v>
      </c>
      <c r="D87" s="24">
        <f>'6.Détails activités passés'!D37+'6.Détails activités passés'!D41-'6.Détails activités passés'!D40-'6.Détails activités passés'!D44</f>
        <v>0</v>
      </c>
      <c r="E87" s="24">
        <f>'6.Détails activités passés'!E37+'6.Détails activités passés'!E41-'6.Détails activités passés'!E40-'6.Détails activités passés'!E44</f>
        <v>0</v>
      </c>
      <c r="F87" s="24">
        <f>'8.Détails activités prév.'!E27+'8.Détails activités prév.'!E31-'8.Détails activités prév.'!E30-'8.Détails activités prév.'!E34</f>
        <v>0</v>
      </c>
      <c r="G87" s="24">
        <f>'8.Détails activités prév.'!F27+'8.Détails activités prév.'!F31-'8.Détails activités prév.'!F30-'8.Détails activités prév.'!F34</f>
        <v>0</v>
      </c>
      <c r="H87" s="24">
        <f>'8.Détails activités prév.'!G27+'8.Détails activités prév.'!G31-'8.Détails activités prév.'!G30-'8.Détails activités prév.'!G34</f>
        <v>0</v>
      </c>
      <c r="I87" s="10"/>
      <c r="J87" s="10"/>
    </row>
    <row r="88" spans="2:10" s="777" customFormat="1" x14ac:dyDescent="0.25">
      <c r="B88" s="264" t="s">
        <v>139</v>
      </c>
      <c r="C88" s="24">
        <f>'6.Détails activités passés'!C35+'6.Détails activités passés'!C36+'6.Détails activités passés'!C45+'6.Détails activités passés'!C46</f>
        <v>0</v>
      </c>
      <c r="D88" s="24">
        <f>'6.Détails activités passés'!D35+'6.Détails activités passés'!D36+'6.Détails activités passés'!D45+'6.Détails activités passés'!D46</f>
        <v>0</v>
      </c>
      <c r="E88" s="24">
        <f>'6.Détails activités passés'!E35+'6.Détails activités passés'!E36+'6.Détails activités passés'!E45+'6.Détails activités passés'!E46</f>
        <v>0</v>
      </c>
      <c r="F88" s="24">
        <f>'8.Détails activités prév.'!E25+'8.Détails activités prév.'!E26+'8.Détails activités prév.'!E35+'8.Détails activités prév.'!E36</f>
        <v>0</v>
      </c>
      <c r="G88" s="24">
        <f>'8.Détails activités prév.'!F25+'8.Détails activités prév.'!F26+'8.Détails activités prév.'!F35+'8.Détails activités prév.'!F36</f>
        <v>0</v>
      </c>
      <c r="H88" s="24">
        <f>'8.Détails activités prév.'!G25+'8.Détails activités prév.'!G26+'8.Détails activités prév.'!G35+'8.Détails activités prév.'!G36</f>
        <v>0</v>
      </c>
      <c r="I88" s="10"/>
      <c r="J88" s="10"/>
    </row>
    <row r="89" spans="2:10" s="777" customFormat="1" x14ac:dyDescent="0.25">
      <c r="B89" s="808" t="s">
        <v>140</v>
      </c>
      <c r="C89" s="24">
        <f>'6.Détails activités passés'!C34+'6.Détails activités passés'!C40+'6.Détails activités passés'!C44</f>
        <v>0</v>
      </c>
      <c r="D89" s="24">
        <f>'6.Détails activités passés'!D34+'6.Détails activités passés'!D40+'6.Détails activités passés'!D44</f>
        <v>0</v>
      </c>
      <c r="E89" s="24">
        <f>'6.Détails activités passés'!E34+'6.Détails activités passés'!E40+'6.Détails activités passés'!E44</f>
        <v>0</v>
      </c>
      <c r="F89" s="24">
        <f>'8.Détails activités prév.'!E24+'8.Détails activités prév.'!E30+'8.Détails activités prév.'!E34</f>
        <v>0</v>
      </c>
      <c r="G89" s="24">
        <f>'8.Détails activités prév.'!F24+'8.Détails activités prév.'!F30+'8.Détails activités prév.'!F34</f>
        <v>0</v>
      </c>
      <c r="H89" s="24">
        <f>'8.Détails activités prév.'!G24+'8.Détails activités prév.'!G30+'8.Détails activités prév.'!G34</f>
        <v>0</v>
      </c>
      <c r="I89" s="10"/>
      <c r="J89" s="10"/>
    </row>
    <row r="90" spans="2:10" s="777" customFormat="1" x14ac:dyDescent="0.25">
      <c r="F90" s="10"/>
      <c r="G90" s="10"/>
      <c r="H90" s="10"/>
      <c r="I90" s="10"/>
      <c r="J90" s="10"/>
    </row>
    <row r="91" spans="2:10" s="777" customFormat="1" x14ac:dyDescent="0.25">
      <c r="B91" s="858" t="s">
        <v>428</v>
      </c>
      <c r="C91" s="859">
        <f>D91-1</f>
        <v>2014</v>
      </c>
      <c r="D91" s="859">
        <f>E91-1</f>
        <v>2015</v>
      </c>
      <c r="E91" s="859">
        <f>'A.1.Présentation structure'!C22</f>
        <v>2016</v>
      </c>
      <c r="F91" s="859">
        <f>E91+1</f>
        <v>2017</v>
      </c>
      <c r="G91" s="859">
        <f>F91+1</f>
        <v>2018</v>
      </c>
      <c r="H91" s="860">
        <f>G91+1</f>
        <v>2019</v>
      </c>
      <c r="I91" s="10"/>
      <c r="J91" s="10"/>
    </row>
    <row r="92" spans="2:10" s="777" customFormat="1" x14ac:dyDescent="0.25">
      <c r="B92" s="861" t="s">
        <v>506</v>
      </c>
      <c r="C92" s="862">
        <f>'6.Détails activités passés'!C14</f>
        <v>0</v>
      </c>
      <c r="D92" s="862">
        <f>'6.Détails activités passés'!D14</f>
        <v>0</v>
      </c>
      <c r="E92" s="862">
        <f>'6.Détails activités passés'!E14</f>
        <v>0</v>
      </c>
      <c r="F92" s="862">
        <f>'8.Détails activités prév.'!E14</f>
        <v>0</v>
      </c>
      <c r="G92" s="862">
        <f>'8.Détails activités prév.'!F14</f>
        <v>0</v>
      </c>
      <c r="H92" s="862">
        <f>'8.Détails activités prév.'!G14</f>
        <v>0</v>
      </c>
      <c r="I92" s="10"/>
      <c r="J92" s="10"/>
    </row>
    <row r="93" spans="2:10" s="777" customFormat="1" x14ac:dyDescent="0.25">
      <c r="B93" s="861" t="s">
        <v>505</v>
      </c>
      <c r="C93" s="862">
        <f>'6.Détails activités passés'!C25</f>
        <v>0</v>
      </c>
      <c r="D93" s="862">
        <f>'6.Détails activités passés'!D25</f>
        <v>0</v>
      </c>
      <c r="E93" s="862">
        <f>'6.Détails activités passés'!E25</f>
        <v>0</v>
      </c>
      <c r="F93" s="862">
        <f>'8.Détails activités prév.'!E15</f>
        <v>0</v>
      </c>
      <c r="G93" s="862" t="str">
        <f>'8.Détails activités prév.'!F15</f>
        <v>0</v>
      </c>
      <c r="H93" s="862" t="str">
        <f>'8.Détails activités prév.'!G15</f>
        <v>0</v>
      </c>
      <c r="I93" s="10"/>
      <c r="J93" s="10"/>
    </row>
    <row r="94" spans="2:10" s="777" customFormat="1" x14ac:dyDescent="0.25">
      <c r="B94" s="863" t="s">
        <v>504</v>
      </c>
      <c r="C94" s="862">
        <f>'6.Détails activités passés'!C26+'6.Détails activités passés'!C28</f>
        <v>0</v>
      </c>
      <c r="D94" s="862">
        <f>'6.Détails activités passés'!D26+'6.Détails activités passés'!D28</f>
        <v>0</v>
      </c>
      <c r="E94" s="862">
        <f>'6.Détails activités passés'!E26+'6.Détails activités passés'!E28</f>
        <v>0</v>
      </c>
      <c r="F94" s="862">
        <f>'8.Détails activités prév.'!E16+'8.Détails activités prév.'!E18</f>
        <v>0</v>
      </c>
      <c r="G94" s="862">
        <f>'8.Détails activités prév.'!F16+'8.Détails activités prév.'!F18</f>
        <v>0</v>
      </c>
      <c r="H94" s="862">
        <f>'8.Détails activités prév.'!G16+'8.Détails activités prév.'!G18</f>
        <v>0</v>
      </c>
      <c r="I94" s="10"/>
      <c r="J94" s="10"/>
    </row>
    <row r="95" spans="2:10" s="777" customFormat="1" x14ac:dyDescent="0.25">
      <c r="B95" s="863" t="s">
        <v>503</v>
      </c>
      <c r="C95" s="862">
        <f>'6.Détails activités passés'!C27-'6.Détails activités passés'!C28+'6.Détails activités passés'!C31+'6.Détails activités passés'!C32</f>
        <v>0</v>
      </c>
      <c r="D95" s="862">
        <f>'6.Détails activités passés'!D27-'6.Détails activités passés'!D28+'6.Détails activités passés'!D31+'6.Détails activités passés'!D32</f>
        <v>0</v>
      </c>
      <c r="E95" s="862">
        <f>'6.Détails activités passés'!E27-'6.Détails activités passés'!E28+'6.Détails activités passés'!E31+'6.Détails activités passés'!E32</f>
        <v>0</v>
      </c>
      <c r="F95" s="862">
        <f>'8.Détails activités prév.'!E17-'8.Détails activités prév.'!E18+'8.Détails activités prév.'!E21+'8.Détails activités prév.'!E22</f>
        <v>0</v>
      </c>
      <c r="G95" s="862">
        <f>'8.Détails activités prév.'!F17-'8.Détails activités prév.'!F18+'8.Détails activités prév.'!F21+'8.Détails activités prév.'!F22</f>
        <v>0</v>
      </c>
      <c r="H95" s="862">
        <f>'8.Détails activités prév.'!G17-'8.Détails activités prév.'!G18+'8.Détails activités prév.'!G21+'8.Détails activités prév.'!G22</f>
        <v>0</v>
      </c>
      <c r="I95" s="10"/>
      <c r="J95" s="10"/>
    </row>
    <row r="96" spans="2:10" s="777" customFormat="1" x14ac:dyDescent="0.25">
      <c r="B96" s="10"/>
      <c r="C96" s="29"/>
      <c r="D96" s="29"/>
      <c r="E96" s="29"/>
      <c r="F96" s="10"/>
      <c r="G96" s="29"/>
      <c r="H96" s="29"/>
      <c r="I96" s="10"/>
      <c r="J96" s="10"/>
    </row>
    <row r="98" spans="2:10" x14ac:dyDescent="0.25">
      <c r="I98" s="10"/>
      <c r="J98" s="10"/>
    </row>
    <row r="99" spans="2:10" s="777" customFormat="1" ht="30" x14ac:dyDescent="0.25">
      <c r="B99" s="1169" t="s">
        <v>296</v>
      </c>
      <c r="F99" s="10"/>
      <c r="G99" s="10"/>
      <c r="H99" s="10"/>
      <c r="I99" s="10"/>
      <c r="J99" s="10"/>
    </row>
    <row r="100" spans="2:10" s="777" customFormat="1" x14ac:dyDescent="0.25">
      <c r="B100" s="856" t="s">
        <v>427</v>
      </c>
      <c r="C100" s="267">
        <f>D100-1</f>
        <v>2014</v>
      </c>
      <c r="D100" s="267">
        <f>E100-1</f>
        <v>2015</v>
      </c>
      <c r="E100" s="267">
        <f>'A.1.Présentation structure'!C22</f>
        <v>2016</v>
      </c>
      <c r="F100" s="267">
        <f>E100+1</f>
        <v>2017</v>
      </c>
      <c r="G100" s="267">
        <f>F100+1</f>
        <v>2018</v>
      </c>
      <c r="H100" s="267">
        <f>G100+1</f>
        <v>2019</v>
      </c>
      <c r="I100" s="10"/>
      <c r="J100" s="10"/>
    </row>
    <row r="101" spans="2:10" s="777" customFormat="1" x14ac:dyDescent="0.25">
      <c r="B101" s="808" t="s">
        <v>138</v>
      </c>
      <c r="C101" s="24">
        <f>'6.Détails activités passés'!F37+'6.Détails activités passés'!F41-'6.Détails activités passés'!F40-'6.Détails activités passés'!F44</f>
        <v>0</v>
      </c>
      <c r="D101" s="24">
        <f>'6.Détails activités passés'!G37+'6.Détails activités passés'!G41-'6.Détails activités passés'!G40-'6.Détails activités passés'!G44</f>
        <v>0</v>
      </c>
      <c r="E101" s="24">
        <f>'6.Détails activités passés'!H37+'6.Détails activités passés'!H41-'6.Détails activités passés'!H40-'6.Détails activités passés'!H44</f>
        <v>0</v>
      </c>
      <c r="F101" s="24">
        <f>'8.Détails activités prév.'!I27+'8.Détails activités prév.'!I31-'8.Détails activités prév.'!I30-'8.Détails activités prév.'!I34</f>
        <v>0</v>
      </c>
      <c r="G101" s="24">
        <f>'8.Détails activités prév.'!J27+'8.Détails activités prév.'!J31-'8.Détails activités prév.'!J30-'8.Détails activités prév.'!J34</f>
        <v>0</v>
      </c>
      <c r="H101" s="24">
        <f>'8.Détails activités prév.'!K27+'8.Détails activités prév.'!K31-'8.Détails activités prév.'!K30-'8.Détails activités prév.'!K34</f>
        <v>0</v>
      </c>
      <c r="I101" s="10"/>
      <c r="J101" s="10"/>
    </row>
    <row r="102" spans="2:10" s="777" customFormat="1" x14ac:dyDescent="0.25">
      <c r="B102" s="264" t="s">
        <v>139</v>
      </c>
      <c r="C102" s="24">
        <f>'6.Détails activités passés'!F35+'6.Détails activités passés'!F36+'6.Détails activités passés'!F45+'6.Détails activités passés'!F46</f>
        <v>0</v>
      </c>
      <c r="D102" s="24">
        <f>'6.Détails activités passés'!G35+'6.Détails activités passés'!G36+'6.Détails activités passés'!G45+'6.Détails activités passés'!G46</f>
        <v>0</v>
      </c>
      <c r="E102" s="24">
        <f>'6.Détails activités passés'!H35+'6.Détails activités passés'!H36+'6.Détails activités passés'!H45+'6.Détails activités passés'!H46</f>
        <v>0</v>
      </c>
      <c r="F102" s="24">
        <f>'8.Détails activités prév.'!I25+'8.Détails activités prév.'!I26+'8.Détails activités prév.'!I35+'8.Détails activités prév.'!I36</f>
        <v>0</v>
      </c>
      <c r="G102" s="24">
        <f>'8.Détails activités prév.'!J25+'8.Détails activités prév.'!J26+'8.Détails activités prév.'!J35+'8.Détails activités prév.'!J36</f>
        <v>0</v>
      </c>
      <c r="H102" s="24">
        <f>'8.Détails activités prév.'!K25+'8.Détails activités prév.'!K26+'8.Détails activités prév.'!K35+'8.Détails activités prév.'!K36</f>
        <v>0</v>
      </c>
      <c r="I102" s="10"/>
      <c r="J102" s="10"/>
    </row>
    <row r="103" spans="2:10" s="777" customFormat="1" x14ac:dyDescent="0.25">
      <c r="B103" s="808" t="s">
        <v>140</v>
      </c>
      <c r="C103" s="24">
        <f>'6.Détails activités passés'!F34+'6.Détails activités passés'!F40+'6.Détails activités passés'!F44</f>
        <v>0</v>
      </c>
      <c r="D103" s="24">
        <f>'6.Détails activités passés'!G34+'6.Détails activités passés'!G40+'6.Détails activités passés'!G44</f>
        <v>0</v>
      </c>
      <c r="E103" s="24">
        <f>'6.Détails activités passés'!H34+'6.Détails activités passés'!H40+'6.Détails activités passés'!H44</f>
        <v>0</v>
      </c>
      <c r="F103" s="24">
        <f>'8.Détails activités prév.'!I24+'8.Détails activités prév.'!I30+'8.Détails activités prév.'!I34</f>
        <v>0</v>
      </c>
      <c r="G103" s="24">
        <f>'8.Détails activités prév.'!J24+'8.Détails activités prév.'!J30+'8.Détails activités prév.'!J34</f>
        <v>0</v>
      </c>
      <c r="H103" s="24">
        <f>'8.Détails activités prév.'!K24+'8.Détails activités prév.'!K30+'8.Détails activités prév.'!K34</f>
        <v>0</v>
      </c>
      <c r="I103" s="10"/>
      <c r="J103" s="10"/>
    </row>
    <row r="104" spans="2:10" s="777" customFormat="1" x14ac:dyDescent="0.25">
      <c r="F104" s="10"/>
      <c r="G104" s="10"/>
      <c r="H104" s="10"/>
      <c r="I104" s="10"/>
      <c r="J104" s="10"/>
    </row>
    <row r="105" spans="2:10" s="777" customFormat="1" x14ac:dyDescent="0.25">
      <c r="B105" s="858" t="s">
        <v>428</v>
      </c>
      <c r="C105" s="859">
        <f>D105-1</f>
        <v>2014</v>
      </c>
      <c r="D105" s="859">
        <f>E105-1</f>
        <v>2015</v>
      </c>
      <c r="E105" s="859">
        <f>'A.1.Présentation structure'!C22</f>
        <v>2016</v>
      </c>
      <c r="F105" s="859">
        <f>E105+1</f>
        <v>2017</v>
      </c>
      <c r="G105" s="859">
        <f>F105+1</f>
        <v>2018</v>
      </c>
      <c r="H105" s="860">
        <f>G105+1</f>
        <v>2019</v>
      </c>
      <c r="I105" s="10"/>
      <c r="J105" s="10"/>
    </row>
    <row r="106" spans="2:10" s="777" customFormat="1" x14ac:dyDescent="0.25">
      <c r="B106" s="861" t="s">
        <v>506</v>
      </c>
      <c r="C106" s="862">
        <f>'6.Détails activités passés'!F14</f>
        <v>0</v>
      </c>
      <c r="D106" s="862">
        <f>'6.Détails activités passés'!G14</f>
        <v>0</v>
      </c>
      <c r="E106" s="862">
        <f>'6.Détails activités passés'!H14</f>
        <v>0</v>
      </c>
      <c r="F106" s="862">
        <f>'8.Détails activités prév.'!I14</f>
        <v>0</v>
      </c>
      <c r="G106" s="862">
        <f>'8.Détails activités prév.'!J14</f>
        <v>0</v>
      </c>
      <c r="H106" s="862">
        <f>'8.Détails activités prév.'!K14</f>
        <v>0</v>
      </c>
      <c r="I106" s="10"/>
      <c r="J106" s="10"/>
    </row>
    <row r="107" spans="2:10" s="777" customFormat="1" x14ac:dyDescent="0.25">
      <c r="B107" s="861" t="s">
        <v>505</v>
      </c>
      <c r="C107" s="862">
        <f>'6.Détails activités passés'!F25</f>
        <v>0</v>
      </c>
      <c r="D107" s="862">
        <f>'6.Détails activités passés'!G25</f>
        <v>0</v>
      </c>
      <c r="E107" s="862">
        <f>'6.Détails activités passés'!H25</f>
        <v>0</v>
      </c>
      <c r="F107" s="862">
        <f>'8.Détails activités prév.'!I15</f>
        <v>0</v>
      </c>
      <c r="G107" s="862" t="str">
        <f>'8.Détails activités prév.'!J15</f>
        <v>0</v>
      </c>
      <c r="H107" s="862" t="str">
        <f>'8.Détails activités prév.'!K15</f>
        <v>0</v>
      </c>
      <c r="I107" s="10"/>
      <c r="J107" s="10"/>
    </row>
    <row r="108" spans="2:10" s="777" customFormat="1" x14ac:dyDescent="0.25">
      <c r="B108" s="863" t="s">
        <v>504</v>
      </c>
      <c r="C108" s="862">
        <f>'6.Détails activités passés'!F26+'6.Détails activités passés'!F28</f>
        <v>0</v>
      </c>
      <c r="D108" s="862">
        <f>'6.Détails activités passés'!G26+'6.Détails activités passés'!G28</f>
        <v>0</v>
      </c>
      <c r="E108" s="862">
        <f>'6.Détails activités passés'!H26+'6.Détails activités passés'!H28</f>
        <v>0</v>
      </c>
      <c r="F108" s="862">
        <f>'8.Détails activités prév.'!I16+'8.Détails activités prév.'!I18</f>
        <v>0</v>
      </c>
      <c r="G108" s="862">
        <f>'8.Détails activités prév.'!J16+'8.Détails activités prév.'!J18</f>
        <v>0</v>
      </c>
      <c r="H108" s="862">
        <f>'8.Détails activités prév.'!K16+'8.Détails activités prév.'!K18</f>
        <v>0</v>
      </c>
      <c r="I108" s="10"/>
      <c r="J108" s="10"/>
    </row>
    <row r="109" spans="2:10" s="777" customFormat="1" x14ac:dyDescent="0.25">
      <c r="B109" s="863" t="s">
        <v>503</v>
      </c>
      <c r="C109" s="862">
        <f>'6.Détails activités passés'!F27-'6.Détails activités passés'!F28+'6.Détails activités passés'!F31+'6.Détails activités passés'!F32</f>
        <v>0</v>
      </c>
      <c r="D109" s="862">
        <f>'6.Détails activités passés'!G27-'6.Détails activités passés'!G28+'6.Détails activités passés'!G31+'6.Détails activités passés'!G32</f>
        <v>0</v>
      </c>
      <c r="E109" s="862">
        <f>'6.Détails activités passés'!H27-'6.Détails activités passés'!H28+'6.Détails activités passés'!H31+'6.Détails activités passés'!H32</f>
        <v>0</v>
      </c>
      <c r="F109" s="862">
        <f>'8.Détails activités prév.'!I17-'8.Détails activités prév.'!I18+'8.Détails activités prév.'!I21+'8.Détails activités prév.'!I22</f>
        <v>0</v>
      </c>
      <c r="G109" s="862">
        <f>'8.Détails activités prév.'!J17-'8.Détails activités prév.'!J18+'8.Détails activités prév.'!J21+'8.Détails activités prév.'!J22</f>
        <v>0</v>
      </c>
      <c r="H109" s="862">
        <f>'8.Détails activités prév.'!K17-'8.Détails activités prév.'!K18+'8.Détails activités prév.'!K21+'8.Détails activités prév.'!K22</f>
        <v>0</v>
      </c>
      <c r="I109" s="10"/>
      <c r="J109" s="10"/>
    </row>
    <row r="110" spans="2:10" x14ac:dyDescent="0.25">
      <c r="I110" s="10"/>
      <c r="J110" s="10"/>
    </row>
    <row r="111" spans="2:10" x14ac:dyDescent="0.25">
      <c r="I111" s="10"/>
      <c r="J111" s="10"/>
    </row>
    <row r="112" spans="2:10" x14ac:dyDescent="0.25">
      <c r="I112" s="10"/>
      <c r="J112" s="10"/>
    </row>
    <row r="113" spans="2:10" s="777" customFormat="1" ht="30" x14ac:dyDescent="0.25">
      <c r="B113" s="1584" t="s">
        <v>101</v>
      </c>
      <c r="F113" s="10"/>
      <c r="G113" s="10"/>
      <c r="H113" s="10"/>
      <c r="I113" s="10"/>
      <c r="J113" s="10"/>
    </row>
    <row r="114" spans="2:10" s="777" customFormat="1" x14ac:dyDescent="0.25">
      <c r="B114" s="856" t="s">
        <v>427</v>
      </c>
      <c r="C114" s="267">
        <f>D114-1</f>
        <v>2014</v>
      </c>
      <c r="D114" s="267">
        <f>E114-1</f>
        <v>2015</v>
      </c>
      <c r="E114" s="267">
        <f>'A.1.Présentation structure'!C22</f>
        <v>2016</v>
      </c>
      <c r="F114" s="267">
        <f>E114+1</f>
        <v>2017</v>
      </c>
      <c r="G114" s="267">
        <f>F114+1</f>
        <v>2018</v>
      </c>
      <c r="H114" s="267">
        <f>G114+1</f>
        <v>2019</v>
      </c>
      <c r="I114" s="10"/>
      <c r="J114" s="10"/>
    </row>
    <row r="115" spans="2:10" s="777" customFormat="1" x14ac:dyDescent="0.25">
      <c r="B115" s="808" t="s">
        <v>138</v>
      </c>
      <c r="C115" s="24">
        <f>'6.Détails activités passés'!I37+'6.Détails activités passés'!I41-'6.Détails activités passés'!I40-'6.Détails activités passés'!I44</f>
        <v>0</v>
      </c>
      <c r="D115" s="24">
        <f>'6.Détails activités passés'!J37+'6.Détails activités passés'!J41-'6.Détails activités passés'!J40-'6.Détails activités passés'!J44</f>
        <v>0</v>
      </c>
      <c r="E115" s="24">
        <f>'6.Détails activités passés'!K37+'6.Détails activités passés'!K41-'6.Détails activités passés'!K40-'6.Détails activités passés'!K44</f>
        <v>0</v>
      </c>
      <c r="F115" s="24">
        <f>'8.Détails activités prév.'!M27+'8.Détails activités prév.'!M31-'8.Détails activités prév.'!M30-'8.Détails activités prév.'!M34</f>
        <v>0</v>
      </c>
      <c r="G115" s="24">
        <f>'8.Détails activités prév.'!N27+'8.Détails activités prév.'!N31-'8.Détails activités prév.'!N30-'8.Détails activités prév.'!N34</f>
        <v>0</v>
      </c>
      <c r="H115" s="24">
        <f>'8.Détails activités prév.'!O27+'8.Détails activités prév.'!O31-'8.Détails activités prév.'!O30-'8.Détails activités prév.'!O34</f>
        <v>0</v>
      </c>
      <c r="I115" s="10"/>
      <c r="J115" s="10"/>
    </row>
    <row r="116" spans="2:10" s="777" customFormat="1" x14ac:dyDescent="0.25">
      <c r="B116" s="264" t="s">
        <v>139</v>
      </c>
      <c r="C116" s="24">
        <f>'6.Détails activités passés'!I35+'6.Détails activités passés'!I36+'6.Détails activités passés'!I45+'6.Détails activités passés'!I46</f>
        <v>0</v>
      </c>
      <c r="D116" s="24">
        <f>'6.Détails activités passés'!J35+'6.Détails activités passés'!J36+'6.Détails activités passés'!J45+'6.Détails activités passés'!J46</f>
        <v>0</v>
      </c>
      <c r="E116" s="24">
        <f>'6.Détails activités passés'!K35+'6.Détails activités passés'!K36+'6.Détails activités passés'!K45+'6.Détails activités passés'!K46</f>
        <v>0</v>
      </c>
      <c r="F116" s="24">
        <f>'8.Détails activités prév.'!M25+'8.Détails activités prév.'!M26+'8.Détails activités prév.'!M35+'8.Détails activités prév.'!M36</f>
        <v>0</v>
      </c>
      <c r="G116" s="24">
        <f>'8.Détails activités prév.'!N25+'8.Détails activités prév.'!N26+'8.Détails activités prév.'!N35+'8.Détails activités prév.'!N36</f>
        <v>0</v>
      </c>
      <c r="H116" s="24">
        <f>'8.Détails activités prév.'!O25+'8.Détails activités prév.'!O26+'8.Détails activités prév.'!O35+'8.Détails activités prév.'!O36</f>
        <v>0</v>
      </c>
      <c r="I116" s="10"/>
      <c r="J116" s="10"/>
    </row>
    <row r="117" spans="2:10" s="777" customFormat="1" x14ac:dyDescent="0.25">
      <c r="B117" s="808" t="s">
        <v>140</v>
      </c>
      <c r="C117" s="24">
        <f>'6.Détails activités passés'!I34+'6.Détails activités passés'!I40+'6.Détails activités passés'!I44</f>
        <v>0</v>
      </c>
      <c r="D117" s="24">
        <f>'6.Détails activités passés'!J34+'6.Détails activités passés'!J40+'6.Détails activités passés'!J44</f>
        <v>0</v>
      </c>
      <c r="E117" s="24">
        <f>'6.Détails activités passés'!K34+'6.Détails activités passés'!K40+'6.Détails activités passés'!K44</f>
        <v>0</v>
      </c>
      <c r="F117" s="24">
        <f>'8.Détails activités prév.'!M24+'8.Détails activités prév.'!M30+'8.Détails activités prév.'!M34</f>
        <v>0</v>
      </c>
      <c r="G117" s="24">
        <f>'8.Détails activités prév.'!N24+'8.Détails activités prév.'!N30+'8.Détails activités prév.'!N34</f>
        <v>0</v>
      </c>
      <c r="H117" s="24">
        <f>'8.Détails activités prév.'!O24+'8.Détails activités prév.'!O30+'8.Détails activités prév.'!O34</f>
        <v>0</v>
      </c>
      <c r="I117" s="10"/>
      <c r="J117" s="10"/>
    </row>
    <row r="118" spans="2:10" s="777" customFormat="1" x14ac:dyDescent="0.25">
      <c r="F118" s="10"/>
      <c r="G118" s="10"/>
      <c r="H118" s="10"/>
      <c r="I118" s="10"/>
      <c r="J118" s="10"/>
    </row>
    <row r="119" spans="2:10" s="777" customFormat="1" x14ac:dyDescent="0.25">
      <c r="B119" s="858" t="s">
        <v>428</v>
      </c>
      <c r="C119" s="859">
        <f>D119-1</f>
        <v>2014</v>
      </c>
      <c r="D119" s="859">
        <f>E119-1</f>
        <v>2015</v>
      </c>
      <c r="E119" s="859">
        <f>'A.1.Présentation structure'!C22</f>
        <v>2016</v>
      </c>
      <c r="F119" s="859">
        <f>E119+1</f>
        <v>2017</v>
      </c>
      <c r="G119" s="859">
        <f>F119+1</f>
        <v>2018</v>
      </c>
      <c r="H119" s="860">
        <f>G119+1</f>
        <v>2019</v>
      </c>
      <c r="I119" s="10"/>
      <c r="J119" s="10"/>
    </row>
    <row r="120" spans="2:10" s="777" customFormat="1" x14ac:dyDescent="0.25">
      <c r="B120" s="861" t="s">
        <v>506</v>
      </c>
      <c r="C120" s="862">
        <f>'6.Détails activités passés'!I14</f>
        <v>0</v>
      </c>
      <c r="D120" s="862">
        <f>'6.Détails activités passés'!J14</f>
        <v>0</v>
      </c>
      <c r="E120" s="862">
        <f>'6.Détails activités passés'!K14</f>
        <v>0</v>
      </c>
      <c r="F120" s="862">
        <f>'8.Détails activités prév.'!M14</f>
        <v>0</v>
      </c>
      <c r="G120" s="862">
        <f>'8.Détails activités prév.'!N14</f>
        <v>0</v>
      </c>
      <c r="H120" s="862">
        <f>'8.Détails activités prév.'!O14</f>
        <v>0</v>
      </c>
      <c r="I120" s="10"/>
      <c r="J120" s="10"/>
    </row>
    <row r="121" spans="2:10" s="777" customFormat="1" x14ac:dyDescent="0.25">
      <c r="B121" s="861" t="s">
        <v>505</v>
      </c>
      <c r="C121" s="862">
        <f>'6.Détails activités passés'!I25</f>
        <v>0</v>
      </c>
      <c r="D121" s="862">
        <f>'6.Détails activités passés'!J25</f>
        <v>0</v>
      </c>
      <c r="E121" s="862">
        <f>'6.Détails activités passés'!K25</f>
        <v>0</v>
      </c>
      <c r="F121" s="862">
        <f>'8.Détails activités prév.'!M15</f>
        <v>0</v>
      </c>
      <c r="G121" s="862" t="str">
        <f>'8.Détails activités prév.'!N15</f>
        <v>0</v>
      </c>
      <c r="H121" s="862" t="str">
        <f>'8.Détails activités prév.'!O15</f>
        <v>0</v>
      </c>
      <c r="I121" s="10"/>
      <c r="J121" s="10"/>
    </row>
    <row r="122" spans="2:10" s="777" customFormat="1" x14ac:dyDescent="0.25">
      <c r="B122" s="863" t="s">
        <v>504</v>
      </c>
      <c r="C122" s="862">
        <f>'6.Détails activités passés'!I26+'6.Détails activités passés'!I28</f>
        <v>0</v>
      </c>
      <c r="D122" s="862">
        <f>'6.Détails activités passés'!J26+'6.Détails activités passés'!J28</f>
        <v>0</v>
      </c>
      <c r="E122" s="862">
        <f>'6.Détails activités passés'!K26+'6.Détails activités passés'!K28</f>
        <v>0</v>
      </c>
      <c r="F122" s="862">
        <f>'8.Détails activités prév.'!M16+'8.Détails activités prév.'!M18</f>
        <v>0</v>
      </c>
      <c r="G122" s="862">
        <f>'8.Détails activités prév.'!N16+'8.Détails activités prév.'!N18</f>
        <v>0</v>
      </c>
      <c r="H122" s="862">
        <f>'8.Détails activités prév.'!O16+'8.Détails activités prév.'!O18</f>
        <v>0</v>
      </c>
      <c r="I122" s="10"/>
      <c r="J122" s="10"/>
    </row>
    <row r="123" spans="2:10" s="777" customFormat="1" x14ac:dyDescent="0.25">
      <c r="B123" s="863" t="s">
        <v>503</v>
      </c>
      <c r="C123" s="862">
        <f>'6.Détails activités passés'!I27-'6.Détails activités passés'!I28+'6.Détails activités passés'!I31+'6.Détails activités passés'!I32</f>
        <v>0</v>
      </c>
      <c r="D123" s="862">
        <f>'6.Détails activités passés'!J27-'6.Détails activités passés'!J28+'6.Détails activités passés'!J31+'6.Détails activités passés'!J32</f>
        <v>0</v>
      </c>
      <c r="E123" s="862">
        <f>'6.Détails activités passés'!K27-'6.Détails activités passés'!K28+'6.Détails activités passés'!K31+'6.Détails activités passés'!K32</f>
        <v>0</v>
      </c>
      <c r="F123" s="862">
        <f>'8.Détails activités prév.'!M17-'8.Détails activités prév.'!M18+'8.Détails activités prév.'!M21+'8.Détails activités prév.'!M22</f>
        <v>0</v>
      </c>
      <c r="G123" s="862">
        <f>'8.Détails activités prév.'!N17-'8.Détails activités prév.'!N18+'8.Détails activités prév.'!N21+'8.Détails activités prév.'!N22</f>
        <v>0</v>
      </c>
      <c r="H123" s="862">
        <f>'8.Détails activités prév.'!O17-'8.Détails activités prév.'!O18+'8.Détails activités prév.'!O21+'8.Détails activités prév.'!O22</f>
        <v>0</v>
      </c>
      <c r="I123" s="10"/>
      <c r="J123" s="10"/>
    </row>
    <row r="124" spans="2:10" x14ac:dyDescent="0.25">
      <c r="I124" s="10"/>
      <c r="J124" s="10"/>
    </row>
    <row r="125" spans="2:10" x14ac:dyDescent="0.25">
      <c r="I125" s="10"/>
      <c r="J125" s="10"/>
    </row>
    <row r="126" spans="2:10" x14ac:dyDescent="0.25">
      <c r="I126" s="10"/>
      <c r="J126" s="10"/>
    </row>
    <row r="127" spans="2:10" s="777" customFormat="1" ht="30" x14ac:dyDescent="0.25">
      <c r="B127" s="1585" t="s">
        <v>299</v>
      </c>
      <c r="F127" s="10"/>
      <c r="G127" s="10"/>
      <c r="H127" s="10"/>
      <c r="I127" s="10"/>
      <c r="J127" s="10"/>
    </row>
    <row r="128" spans="2:10" s="777" customFormat="1" x14ac:dyDescent="0.25">
      <c r="B128" s="856" t="s">
        <v>427</v>
      </c>
      <c r="C128" s="267">
        <f>D128-1</f>
        <v>2014</v>
      </c>
      <c r="D128" s="267">
        <f>E128-1</f>
        <v>2015</v>
      </c>
      <c r="E128" s="267">
        <f>'A.1.Présentation structure'!C22</f>
        <v>2016</v>
      </c>
      <c r="F128" s="267">
        <f>E128+1</f>
        <v>2017</v>
      </c>
      <c r="G128" s="267">
        <f>F128+1</f>
        <v>2018</v>
      </c>
      <c r="H128" s="267">
        <f>G128+1</f>
        <v>2019</v>
      </c>
      <c r="I128" s="10"/>
      <c r="J128" s="10"/>
    </row>
    <row r="129" spans="2:10" s="777" customFormat="1" x14ac:dyDescent="0.25">
      <c r="B129" s="808" t="s">
        <v>138</v>
      </c>
      <c r="C129" s="24">
        <f>'6.Détails activités passés'!L37+'6.Détails activités passés'!L41-'6.Détails activités passés'!L40-'6.Détails activités passés'!L44</f>
        <v>0</v>
      </c>
      <c r="D129" s="24">
        <f>'6.Détails activités passés'!M37+'6.Détails activités passés'!M41-'6.Détails activités passés'!M40-'6.Détails activités passés'!M44</f>
        <v>0</v>
      </c>
      <c r="E129" s="24">
        <f>'6.Détails activités passés'!N37+'6.Détails activités passés'!N41-'6.Détails activités passés'!N40-'6.Détails activités passés'!N44</f>
        <v>0</v>
      </c>
      <c r="F129" s="24">
        <f>'8.Détails activités prév.'!Q27+'8.Détails activités prév.'!Q31-'8.Détails activités prév.'!Q30-'8.Détails activités prév.'!Q34</f>
        <v>0</v>
      </c>
      <c r="G129" s="24">
        <f>'8.Détails activités prév.'!R27+'8.Détails activités prév.'!R31-'8.Détails activités prév.'!R30-'8.Détails activités prév.'!R34</f>
        <v>0</v>
      </c>
      <c r="H129" s="24">
        <f>'8.Détails activités prév.'!S27+'8.Détails activités prév.'!S31-'8.Détails activités prév.'!S30-'8.Détails activités prév.'!S34</f>
        <v>0</v>
      </c>
      <c r="I129" s="10"/>
      <c r="J129" s="10"/>
    </row>
    <row r="130" spans="2:10" s="777" customFormat="1" x14ac:dyDescent="0.25">
      <c r="B130" s="264" t="s">
        <v>139</v>
      </c>
      <c r="C130" s="24">
        <f>'6.Détails activités passés'!L35+'6.Détails activités passés'!L36+'6.Détails activités passés'!L45+'6.Détails activités passés'!L46</f>
        <v>0</v>
      </c>
      <c r="D130" s="24">
        <f>'6.Détails activités passés'!M35+'6.Détails activités passés'!M36+'6.Détails activités passés'!M45+'6.Détails activités passés'!M46</f>
        <v>0</v>
      </c>
      <c r="E130" s="24">
        <f>'6.Détails activités passés'!N35+'6.Détails activités passés'!N36+'6.Détails activités passés'!N45+'6.Détails activités passés'!N46</f>
        <v>0</v>
      </c>
      <c r="F130" s="24">
        <f>'8.Détails activités prév.'!Q25+'8.Détails activités prév.'!Q26+'8.Détails activités prév.'!Q35+'8.Détails activités prév.'!Q36</f>
        <v>0</v>
      </c>
      <c r="G130" s="24">
        <f>'8.Détails activités prév.'!R25+'8.Détails activités prév.'!R26+'8.Détails activités prév.'!R35+'8.Détails activités prév.'!R36</f>
        <v>0</v>
      </c>
      <c r="H130" s="24">
        <f>'8.Détails activités prév.'!S25+'8.Détails activités prév.'!S26+'8.Détails activités prév.'!S35+'8.Détails activités prév.'!S36</f>
        <v>0</v>
      </c>
      <c r="I130" s="10"/>
      <c r="J130" s="10"/>
    </row>
    <row r="131" spans="2:10" s="777" customFormat="1" x14ac:dyDescent="0.25">
      <c r="B131" s="808" t="s">
        <v>140</v>
      </c>
      <c r="C131" s="24">
        <f>'6.Détails activités passés'!L34+'6.Détails activités passés'!L40+'6.Détails activités passés'!L44</f>
        <v>0</v>
      </c>
      <c r="D131" s="24">
        <f>'6.Détails activités passés'!M34+'6.Détails activités passés'!M40+'6.Détails activités passés'!M44</f>
        <v>0</v>
      </c>
      <c r="E131" s="24">
        <f>'6.Détails activités passés'!N34+'6.Détails activités passés'!N40+'6.Détails activités passés'!N44</f>
        <v>0</v>
      </c>
      <c r="F131" s="24">
        <f>'8.Détails activités prév.'!Q24+'8.Détails activités prév.'!Q30+'8.Détails activités prév.'!Q34</f>
        <v>0</v>
      </c>
      <c r="G131" s="24">
        <f>'8.Détails activités prév.'!R24+'8.Détails activités prév.'!R30+'8.Détails activités prév.'!R34</f>
        <v>0</v>
      </c>
      <c r="H131" s="24">
        <f>'8.Détails activités prév.'!S24+'8.Détails activités prév.'!S30+'8.Détails activités prév.'!S34</f>
        <v>0</v>
      </c>
      <c r="I131" s="10"/>
      <c r="J131" s="10"/>
    </row>
    <row r="132" spans="2:10" s="777" customFormat="1" x14ac:dyDescent="0.25">
      <c r="F132" s="10"/>
      <c r="G132" s="10"/>
      <c r="H132" s="10"/>
      <c r="I132" s="10"/>
      <c r="J132" s="10"/>
    </row>
    <row r="133" spans="2:10" s="777" customFormat="1" x14ac:dyDescent="0.25">
      <c r="B133" s="858" t="s">
        <v>428</v>
      </c>
      <c r="C133" s="859">
        <f>D133-1</f>
        <v>2014</v>
      </c>
      <c r="D133" s="859">
        <f>E133-1</f>
        <v>2015</v>
      </c>
      <c r="E133" s="859">
        <f>'A.1.Présentation structure'!C22</f>
        <v>2016</v>
      </c>
      <c r="F133" s="859">
        <f>E133+1</f>
        <v>2017</v>
      </c>
      <c r="G133" s="859">
        <f>F133+1</f>
        <v>2018</v>
      </c>
      <c r="H133" s="860">
        <f>G133+1</f>
        <v>2019</v>
      </c>
      <c r="I133" s="10"/>
      <c r="J133" s="10"/>
    </row>
    <row r="134" spans="2:10" s="777" customFormat="1" x14ac:dyDescent="0.25">
      <c r="B134" s="861" t="s">
        <v>506</v>
      </c>
      <c r="C134" s="862">
        <f>'6.Détails activités passés'!L14</f>
        <v>0</v>
      </c>
      <c r="D134" s="862">
        <f>'6.Détails activités passés'!M14</f>
        <v>0</v>
      </c>
      <c r="E134" s="862">
        <f>'6.Détails activités passés'!N14</f>
        <v>0</v>
      </c>
      <c r="F134" s="862">
        <f>'8.Détails activités prév.'!Q14</f>
        <v>0</v>
      </c>
      <c r="G134" s="862">
        <f>'8.Détails activités prév.'!R14</f>
        <v>0</v>
      </c>
      <c r="H134" s="862">
        <f>'8.Détails activités prév.'!S14</f>
        <v>0</v>
      </c>
      <c r="I134" s="10"/>
      <c r="J134" s="10"/>
    </row>
    <row r="135" spans="2:10" s="777" customFormat="1" x14ac:dyDescent="0.25">
      <c r="B135" s="861" t="s">
        <v>505</v>
      </c>
      <c r="C135" s="862">
        <f>'6.Détails activités passés'!L25</f>
        <v>0</v>
      </c>
      <c r="D135" s="862">
        <f>'6.Détails activités passés'!M25</f>
        <v>0</v>
      </c>
      <c r="E135" s="862">
        <f>'6.Détails activités passés'!N25</f>
        <v>0</v>
      </c>
      <c r="F135" s="862">
        <f>'8.Détails activités prév.'!Q15</f>
        <v>0</v>
      </c>
      <c r="G135" s="862" t="str">
        <f>'8.Détails activités prév.'!R15</f>
        <v>0</v>
      </c>
      <c r="H135" s="862">
        <f>'8.Détails activités prév.'!S15</f>
        <v>0</v>
      </c>
      <c r="I135" s="10"/>
      <c r="J135" s="10"/>
    </row>
    <row r="136" spans="2:10" s="777" customFormat="1" x14ac:dyDescent="0.25">
      <c r="B136" s="863" t="s">
        <v>504</v>
      </c>
      <c r="C136" s="862">
        <f>'6.Détails activités passés'!L26+'6.Détails activités passés'!L28</f>
        <v>0</v>
      </c>
      <c r="D136" s="862">
        <f>'6.Détails activités passés'!M26+'6.Détails activités passés'!M28</f>
        <v>0</v>
      </c>
      <c r="E136" s="862">
        <f>'6.Détails activités passés'!N26+'6.Détails activités passés'!N28</f>
        <v>0</v>
      </c>
      <c r="F136" s="862">
        <f>'8.Détails activités prév.'!Q16+'8.Détails activités prév.'!Q18</f>
        <v>0</v>
      </c>
      <c r="G136" s="862">
        <f>'8.Détails activités prév.'!R16+'8.Détails activités prév.'!R18</f>
        <v>0</v>
      </c>
      <c r="H136" s="862">
        <f>'8.Détails activités prév.'!S16+'8.Détails activités prév.'!S18</f>
        <v>0</v>
      </c>
      <c r="I136" s="10"/>
      <c r="J136" s="10"/>
    </row>
    <row r="137" spans="2:10" s="777" customFormat="1" x14ac:dyDescent="0.25">
      <c r="B137" s="863" t="s">
        <v>503</v>
      </c>
      <c r="C137" s="862">
        <f>'6.Détails activités passés'!L27-'6.Détails activités passés'!L28+'6.Détails activités passés'!L31+'6.Détails activités passés'!L32</f>
        <v>0</v>
      </c>
      <c r="D137" s="862">
        <f>'6.Détails activités passés'!M27-'6.Détails activités passés'!M28+'6.Détails activités passés'!M31+'6.Détails activités passés'!M32</f>
        <v>0</v>
      </c>
      <c r="E137" s="862">
        <f>'6.Détails activités passés'!N27-'6.Détails activités passés'!N28+'6.Détails activités passés'!N31+'6.Détails activités passés'!N32</f>
        <v>0</v>
      </c>
      <c r="F137" s="862">
        <f>'8.Détails activités prév.'!Q17-'8.Détails activités prév.'!Q18+'8.Détails activités prév.'!Q21+'8.Détails activités prév.'!Q22</f>
        <v>0</v>
      </c>
      <c r="G137" s="862">
        <f>'8.Détails activités prév.'!R17-'8.Détails activités prév.'!R18+'8.Détails activités prév.'!R21+'8.Détails activités prév.'!R22</f>
        <v>0</v>
      </c>
      <c r="H137" s="862">
        <f>'8.Détails activités prév.'!S17-'8.Détails activités prév.'!S18+'8.Détails activités prév.'!S21+'8.Détails activités prév.'!S22</f>
        <v>0</v>
      </c>
      <c r="I137" s="10"/>
      <c r="J137" s="10"/>
    </row>
    <row r="138" spans="2:10" x14ac:dyDescent="0.25">
      <c r="I138" s="10"/>
      <c r="J138" s="10"/>
    </row>
    <row r="139" spans="2:10" x14ac:dyDescent="0.25">
      <c r="I139" s="10"/>
      <c r="J139" s="10"/>
    </row>
    <row r="140" spans="2:10" x14ac:dyDescent="0.25">
      <c r="I140" s="10"/>
      <c r="J140" s="10"/>
    </row>
    <row r="141" spans="2:10" s="777" customFormat="1" ht="30" customHeight="1" x14ac:dyDescent="0.25">
      <c r="B141" s="263" t="s">
        <v>498</v>
      </c>
      <c r="F141" s="10"/>
      <c r="G141" s="10"/>
      <c r="H141" s="10"/>
      <c r="I141" s="10"/>
      <c r="J141" s="10"/>
    </row>
    <row r="142" spans="2:10" s="777" customFormat="1" x14ac:dyDescent="0.25">
      <c r="B142" s="856" t="s">
        <v>427</v>
      </c>
      <c r="C142" s="267">
        <f>D142-1</f>
        <v>2014</v>
      </c>
      <c r="D142" s="267">
        <f>E142-1</f>
        <v>2015</v>
      </c>
      <c r="E142" s="267">
        <f>'A.1.Présentation structure'!C22</f>
        <v>2016</v>
      </c>
      <c r="F142" s="267">
        <f>E142+1</f>
        <v>2017</v>
      </c>
      <c r="G142" s="267">
        <f>F142+1</f>
        <v>2018</v>
      </c>
      <c r="H142" s="267">
        <f>G142+1</f>
        <v>2019</v>
      </c>
      <c r="I142" s="10"/>
      <c r="J142" s="10"/>
    </row>
    <row r="143" spans="2:10" s="777" customFormat="1" x14ac:dyDescent="0.25">
      <c r="B143" s="808" t="s">
        <v>138</v>
      </c>
      <c r="C143" s="24">
        <f>'6.Détails activités passés'!O37+'6.Détails activités passés'!O41-'6.Détails activités passés'!O40-'6.Détails activités passés'!O44</f>
        <v>0</v>
      </c>
      <c r="D143" s="24">
        <f>'6.Détails activités passés'!P37+'6.Détails activités passés'!P41-'6.Détails activités passés'!P40-'6.Détails activités passés'!P44</f>
        <v>0</v>
      </c>
      <c r="E143" s="24">
        <f>'6.Détails activités passés'!Q37+'6.Détails activités passés'!Q41-'6.Détails activités passés'!Q40-'6.Détails activités passés'!Q44</f>
        <v>0</v>
      </c>
      <c r="F143" s="24">
        <f>'8.Détails activités prév.'!U27+'8.Détails activités prév.'!U31-'8.Détails activités prév.'!U30-'8.Détails activités prév.'!U34</f>
        <v>0</v>
      </c>
      <c r="G143" s="24">
        <f>'8.Détails activités prév.'!V27+'8.Détails activités prév.'!V31-'8.Détails activités prév.'!V30-'8.Détails activités prév.'!V34</f>
        <v>0</v>
      </c>
      <c r="H143" s="24">
        <f>'8.Détails activités prév.'!W27+'8.Détails activités prév.'!W31-'8.Détails activités prév.'!W30-'8.Détails activités prév.'!W34</f>
        <v>0</v>
      </c>
      <c r="I143" s="10"/>
      <c r="J143" s="10"/>
    </row>
    <row r="144" spans="2:10" s="777" customFormat="1" x14ac:dyDescent="0.25">
      <c r="B144" s="264" t="s">
        <v>139</v>
      </c>
      <c r="C144" s="24">
        <f>'6.Détails activités passés'!O35+'6.Détails activités passés'!O36+'6.Détails activités passés'!O45+'6.Détails activités passés'!O46</f>
        <v>0</v>
      </c>
      <c r="D144" s="24">
        <f>'6.Détails activités passés'!P35+'6.Détails activités passés'!P36+'6.Détails activités passés'!P45+'6.Détails activités passés'!P46</f>
        <v>0</v>
      </c>
      <c r="E144" s="24">
        <f>'6.Détails activités passés'!Q35+'6.Détails activités passés'!Q36+'6.Détails activités passés'!Q45+'6.Détails activités passés'!Q46</f>
        <v>0</v>
      </c>
      <c r="F144" s="24">
        <f>'8.Détails activités prév.'!U25+'8.Détails activités prév.'!U26+'8.Détails activités prév.'!U35+'8.Détails activités prév.'!U36</f>
        <v>0</v>
      </c>
      <c r="G144" s="24">
        <f>'8.Détails activités prév.'!V25+'8.Détails activités prév.'!V26+'8.Détails activités prév.'!V35+'8.Détails activités prév.'!V36</f>
        <v>0</v>
      </c>
      <c r="H144" s="24">
        <f>'8.Détails activités prév.'!W25+'8.Détails activités prév.'!W26+'8.Détails activités prév.'!W35+'8.Détails activités prév.'!W36</f>
        <v>0</v>
      </c>
      <c r="I144" s="10"/>
      <c r="J144" s="10"/>
    </row>
    <row r="145" spans="2:10" s="777" customFormat="1" x14ac:dyDescent="0.25">
      <c r="B145" s="808" t="s">
        <v>140</v>
      </c>
      <c r="C145" s="24">
        <f>'6.Détails activités passés'!O34+'6.Détails activités passés'!O40+'6.Détails activités passés'!O44</f>
        <v>0</v>
      </c>
      <c r="D145" s="24">
        <f>'6.Détails activités passés'!P34+'6.Détails activités passés'!P40+'6.Détails activités passés'!P44</f>
        <v>0</v>
      </c>
      <c r="E145" s="24">
        <f>'6.Détails activités passés'!Q34+'6.Détails activités passés'!Q40+'6.Détails activités passés'!Q44</f>
        <v>0</v>
      </c>
      <c r="F145" s="24">
        <f>'8.Détails activités prév.'!U24+'8.Détails activités prév.'!U30+'8.Détails activités prév.'!U34</f>
        <v>0</v>
      </c>
      <c r="G145" s="24">
        <f>'8.Détails activités prév.'!V24+'8.Détails activités prév.'!V30+'8.Détails activités prév.'!V34</f>
        <v>0</v>
      </c>
      <c r="H145" s="24">
        <f>'8.Détails activités prév.'!W24+'8.Détails activités prév.'!W30+'8.Détails activités prév.'!W34</f>
        <v>0</v>
      </c>
      <c r="I145" s="10"/>
      <c r="J145" s="10"/>
    </row>
    <row r="146" spans="2:10" s="777" customFormat="1" x14ac:dyDescent="0.25">
      <c r="F146" s="10"/>
      <c r="G146" s="10"/>
      <c r="H146" s="10"/>
      <c r="I146" s="10"/>
      <c r="J146" s="10"/>
    </row>
    <row r="147" spans="2:10" s="777" customFormat="1" x14ac:dyDescent="0.25">
      <c r="B147" s="858" t="s">
        <v>428</v>
      </c>
      <c r="C147" s="859">
        <f>D147-1</f>
        <v>2014</v>
      </c>
      <c r="D147" s="859">
        <f>E147-1</f>
        <v>2015</v>
      </c>
      <c r="E147" s="859">
        <f>'A.1.Présentation structure'!C22</f>
        <v>2016</v>
      </c>
      <c r="F147" s="859">
        <f>E147+1</f>
        <v>2017</v>
      </c>
      <c r="G147" s="859">
        <f>F147+1</f>
        <v>2018</v>
      </c>
      <c r="H147" s="860">
        <f>G147+1</f>
        <v>2019</v>
      </c>
      <c r="I147" s="10"/>
      <c r="J147" s="10"/>
    </row>
    <row r="148" spans="2:10" s="777" customFormat="1" x14ac:dyDescent="0.25">
      <c r="B148" s="861" t="s">
        <v>506</v>
      </c>
      <c r="C148" s="862">
        <f>'6.Détails activités passés'!O14</f>
        <v>0</v>
      </c>
      <c r="D148" s="862">
        <f>'6.Détails activités passés'!P14</f>
        <v>0</v>
      </c>
      <c r="E148" s="862">
        <f>'6.Détails activités passés'!Q14</f>
        <v>0</v>
      </c>
      <c r="F148" s="862">
        <f>'8.Détails activités prév.'!U14</f>
        <v>0</v>
      </c>
      <c r="G148" s="862">
        <f>'8.Détails activités prév.'!V14</f>
        <v>0</v>
      </c>
      <c r="H148" s="862">
        <f>'8.Détails activités prév.'!W14</f>
        <v>0</v>
      </c>
      <c r="I148" s="10"/>
      <c r="J148" s="10"/>
    </row>
    <row r="149" spans="2:10" s="777" customFormat="1" x14ac:dyDescent="0.25">
      <c r="B149" s="861" t="s">
        <v>505</v>
      </c>
      <c r="C149" s="862">
        <f>'6.Détails activités passés'!O25</f>
        <v>0</v>
      </c>
      <c r="D149" s="862">
        <f>'6.Détails activités passés'!P25</f>
        <v>0</v>
      </c>
      <c r="E149" s="862">
        <f>'6.Détails activités passés'!Q25</f>
        <v>0</v>
      </c>
      <c r="F149" s="862">
        <f>'8.Détails activités prév.'!U15</f>
        <v>0</v>
      </c>
      <c r="G149" s="862">
        <f>'8.Détails activités prév.'!V15</f>
        <v>0</v>
      </c>
      <c r="H149" s="862">
        <f>'8.Détails activités prév.'!W15</f>
        <v>0</v>
      </c>
      <c r="I149" s="10"/>
      <c r="J149" s="10"/>
    </row>
    <row r="150" spans="2:10" s="777" customFormat="1" x14ac:dyDescent="0.25">
      <c r="B150" s="863" t="s">
        <v>504</v>
      </c>
      <c r="C150" s="862">
        <f>'6.Détails activités passés'!O26+'6.Détails activités passés'!O28</f>
        <v>0</v>
      </c>
      <c r="D150" s="862">
        <f>'6.Détails activités passés'!P26+'6.Détails activités passés'!P28</f>
        <v>0</v>
      </c>
      <c r="E150" s="862">
        <f>'6.Détails activités passés'!Q26+'6.Détails activités passés'!Q28</f>
        <v>0</v>
      </c>
      <c r="F150" s="862">
        <f>'8.Détails activités prév.'!U16+'8.Détails activités prév.'!U18</f>
        <v>0</v>
      </c>
      <c r="G150" s="862">
        <f>'8.Détails activités prév.'!V16+'8.Détails activités prév.'!V18</f>
        <v>0</v>
      </c>
      <c r="H150" s="862">
        <f>'8.Détails activités prév.'!W16+'8.Détails activités prév.'!W18</f>
        <v>0</v>
      </c>
      <c r="I150" s="10"/>
      <c r="J150" s="10"/>
    </row>
    <row r="151" spans="2:10" s="777" customFormat="1" x14ac:dyDescent="0.25">
      <c r="B151" s="863" t="s">
        <v>503</v>
      </c>
      <c r="C151" s="862">
        <f>'6.Détails activités passés'!O27-'6.Détails activités passés'!O28+'6.Détails activités passés'!O31+'6.Détails activités passés'!O32</f>
        <v>0</v>
      </c>
      <c r="D151" s="862">
        <f>'6.Détails activités passés'!P27-'6.Détails activités passés'!P28+'6.Détails activités passés'!P31+'6.Détails activités passés'!P32</f>
        <v>0</v>
      </c>
      <c r="E151" s="862">
        <f>'6.Détails activités passés'!Q27-'6.Détails activités passés'!Q28+'6.Détails activités passés'!Q31+'6.Détails activités passés'!Q32</f>
        <v>0</v>
      </c>
      <c r="F151" s="862">
        <f>'8.Détails activités prév.'!U17-'8.Détails activités prév.'!U18+'8.Détails activités prév.'!U21+'8.Détails activités prév.'!U22</f>
        <v>0</v>
      </c>
      <c r="G151" s="862">
        <f>'8.Détails activités prév.'!V17-'8.Détails activités prév.'!V18+'8.Détails activités prév.'!V21+'8.Détails activités prév.'!V22</f>
        <v>0</v>
      </c>
      <c r="H151" s="862">
        <f>'8.Détails activités prév.'!W17-'8.Détails activités prév.'!W18+'8.Détails activités prév.'!W21+'8.Détails activités prév.'!W22</f>
        <v>0</v>
      </c>
      <c r="I151" s="10"/>
      <c r="J151" s="10"/>
    </row>
    <row r="154" spans="2:10" ht="30" customHeight="1" x14ac:dyDescent="0.25">
      <c r="B154" s="1582" t="s">
        <v>499</v>
      </c>
      <c r="C154" s="1370"/>
      <c r="D154" s="1370"/>
      <c r="E154" s="1370"/>
      <c r="F154" s="10"/>
      <c r="G154" s="10"/>
      <c r="H154" s="10"/>
    </row>
    <row r="155" spans="2:10" x14ac:dyDescent="0.25">
      <c r="B155" s="856" t="s">
        <v>427</v>
      </c>
      <c r="C155" s="267">
        <f>D155-1</f>
        <v>2014</v>
      </c>
      <c r="D155" s="267">
        <f>E155-1</f>
        <v>2015</v>
      </c>
      <c r="E155" s="267">
        <f>'A.1.Présentation structure'!C22</f>
        <v>2016</v>
      </c>
      <c r="F155" s="267">
        <f>E155+1</f>
        <v>2017</v>
      </c>
      <c r="G155" s="267">
        <f>F155+1</f>
        <v>2018</v>
      </c>
      <c r="H155" s="267">
        <f>G155+1</f>
        <v>2019</v>
      </c>
    </row>
    <row r="156" spans="2:10" x14ac:dyDescent="0.25">
      <c r="B156" s="808" t="s">
        <v>138</v>
      </c>
      <c r="C156" s="24">
        <f>'6.Détails activités passés'!R37+'6.Détails activités passés'!R41-'6.Détails activités passés'!R40-'6.Détails activités passés'!R44</f>
        <v>0</v>
      </c>
      <c r="D156" s="24">
        <f>'6.Détails activités passés'!S37+'6.Détails activités passés'!S41-'6.Détails activités passés'!S40-'6.Détails activités passés'!S44</f>
        <v>0</v>
      </c>
      <c r="E156" s="24">
        <f>'6.Détails activités passés'!T37+'6.Détails activités passés'!T41-'6.Détails activités passés'!T40-'6.Détails activités passés'!T44</f>
        <v>0</v>
      </c>
      <c r="F156" s="24">
        <f>'8.Détails activités prév.'!Y27+'8.Détails activités prév.'!Y31-'8.Détails activités prév.'!Y30-'8.Détails activités prév.'!Y34</f>
        <v>0</v>
      </c>
      <c r="G156" s="24">
        <f>'8.Détails activités prév.'!Z27+'8.Détails activités prév.'!Z31-'8.Détails activités prév.'!Z30-'8.Détails activités prév.'!Z34</f>
        <v>0</v>
      </c>
      <c r="H156" s="24">
        <f>'8.Détails activités prév.'!AA27+'8.Détails activités prév.'!AA31-'8.Détails activités prév.'!AA30-'8.Détails activités prév.'!AA34</f>
        <v>0</v>
      </c>
    </row>
    <row r="157" spans="2:10" x14ac:dyDescent="0.25">
      <c r="B157" s="264" t="s">
        <v>139</v>
      </c>
      <c r="C157" s="24">
        <f>'6.Détails activités passés'!R35+'6.Détails activités passés'!R36+'6.Détails activités passés'!R45+'6.Détails activités passés'!R46</f>
        <v>0</v>
      </c>
      <c r="D157" s="24">
        <f>'6.Détails activités passés'!S35+'6.Détails activités passés'!S36+'6.Détails activités passés'!S45+'6.Détails activités passés'!S46</f>
        <v>0</v>
      </c>
      <c r="E157" s="24">
        <f>'6.Détails activités passés'!T35+'6.Détails activités passés'!T36+'6.Détails activités passés'!T45+'6.Détails activités passés'!T46</f>
        <v>0</v>
      </c>
      <c r="F157" s="24">
        <f>'8.Détails activités prév.'!Y25+'8.Détails activités prév.'!Y26+'8.Détails activités prév.'!Y35+'8.Détails activités prév.'!Y36</f>
        <v>0</v>
      </c>
      <c r="G157" s="24">
        <f>'8.Détails activités prév.'!Z25+'8.Détails activités prév.'!Z26+'8.Détails activités prév.'!Z35+'8.Détails activités prév.'!Z36</f>
        <v>0</v>
      </c>
      <c r="H157" s="24">
        <f>'8.Détails activités prév.'!AA25+'8.Détails activités prév.'!AA26+'8.Détails activités prév.'!AA35+'8.Détails activités prév.'!AA36</f>
        <v>0</v>
      </c>
    </row>
    <row r="158" spans="2:10" x14ac:dyDescent="0.25">
      <c r="B158" s="808" t="s">
        <v>140</v>
      </c>
      <c r="C158" s="24">
        <f>'6.Détails activités passés'!R34+'6.Détails activités passés'!R40+'6.Détails activités passés'!R44</f>
        <v>0</v>
      </c>
      <c r="D158" s="24">
        <f>'6.Détails activités passés'!S34+'6.Détails activités passés'!S40+'6.Détails activités passés'!S44</f>
        <v>0</v>
      </c>
      <c r="E158" s="24">
        <f>'6.Détails activités passés'!T34+'6.Détails activités passés'!T40+'6.Détails activités passés'!T44</f>
        <v>0</v>
      </c>
      <c r="F158" s="24">
        <f>'8.Détails activités prév.'!Y24+'8.Détails activités prév.'!Y30+'8.Détails activités prév.'!Y34</f>
        <v>0</v>
      </c>
      <c r="G158" s="24">
        <f>'8.Détails activités prév.'!Z24+'8.Détails activités prév.'!Z30+'8.Détails activités prév.'!Z34</f>
        <v>0</v>
      </c>
      <c r="H158" s="24">
        <f>'8.Détails activités prév.'!AA24+'8.Détails activités prév.'!AA30+'8.Détails activités prév.'!AA34</f>
        <v>0</v>
      </c>
    </row>
    <row r="159" spans="2:10" x14ac:dyDescent="0.25">
      <c r="B159" s="1370"/>
      <c r="C159" s="1370"/>
      <c r="D159" s="1370"/>
      <c r="E159" s="1370"/>
      <c r="F159" s="10"/>
      <c r="G159" s="10"/>
      <c r="H159" s="10"/>
    </row>
    <row r="160" spans="2:10" x14ac:dyDescent="0.25">
      <c r="B160" s="858" t="s">
        <v>428</v>
      </c>
      <c r="C160" s="859">
        <f>D160-1</f>
        <v>2014</v>
      </c>
      <c r="D160" s="859">
        <f>E160-1</f>
        <v>2015</v>
      </c>
      <c r="E160" s="859">
        <f>'A.1.Présentation structure'!C22</f>
        <v>2016</v>
      </c>
      <c r="F160" s="859">
        <f>E160+1</f>
        <v>2017</v>
      </c>
      <c r="G160" s="859">
        <f>F160+1</f>
        <v>2018</v>
      </c>
      <c r="H160" s="860">
        <f>G160+1</f>
        <v>2019</v>
      </c>
    </row>
    <row r="161" spans="2:8" x14ac:dyDescent="0.25">
      <c r="B161" s="861" t="s">
        <v>506</v>
      </c>
      <c r="C161" s="862">
        <f>'6.Détails activités passés'!O28</f>
        <v>0</v>
      </c>
      <c r="D161" s="862">
        <f>'6.Détails activités passés'!P28</f>
        <v>0</v>
      </c>
      <c r="E161" s="862">
        <f>'6.Détails activités passés'!Q28</f>
        <v>0</v>
      </c>
      <c r="F161" s="862">
        <f>'8.Détails activités prév.'!Y14</f>
        <v>0</v>
      </c>
      <c r="G161" s="862">
        <f>'8.Détails activités prév.'!Z28</f>
        <v>0</v>
      </c>
      <c r="H161" s="862">
        <f>'8.Détails activités prév.'!AA28</f>
        <v>0</v>
      </c>
    </row>
    <row r="162" spans="2:8" x14ac:dyDescent="0.25">
      <c r="B162" s="861" t="s">
        <v>505</v>
      </c>
      <c r="C162" s="862">
        <f>'6.Détails activités passés'!O39</f>
        <v>0</v>
      </c>
      <c r="D162" s="862">
        <f>'6.Détails activités passés'!P39</f>
        <v>0</v>
      </c>
      <c r="E162" s="862">
        <f>'6.Détails activités passés'!Q39</f>
        <v>0</v>
      </c>
      <c r="F162" s="862">
        <f>'8.Détails activités prév.'!Y15</f>
        <v>0</v>
      </c>
      <c r="G162" s="862">
        <f>'8.Détails activités prév.'!Z29</f>
        <v>0</v>
      </c>
      <c r="H162" s="862">
        <f>'8.Détails activités prév.'!AA29</f>
        <v>0</v>
      </c>
    </row>
    <row r="163" spans="2:8" x14ac:dyDescent="0.25">
      <c r="B163" s="863" t="s">
        <v>504</v>
      </c>
      <c r="C163" s="862">
        <f>'6.Détails activités passés'!O40+'6.Détails activités passés'!O42</f>
        <v>0</v>
      </c>
      <c r="D163" s="862">
        <f>'6.Détails activités passés'!P40+'6.Détails activités passés'!P42</f>
        <v>0</v>
      </c>
      <c r="E163" s="862">
        <f>'6.Détails activités passés'!Q40+'6.Détails activités passés'!Q42</f>
        <v>0</v>
      </c>
      <c r="F163" s="862">
        <f>'8.Détails activités prév.'!Y16+'8.Détails activités prév.'!Y18</f>
        <v>0</v>
      </c>
      <c r="G163" s="862">
        <f>'8.Détails activités prév.'!Z30+'8.Détails activités prév.'!Z32</f>
        <v>0</v>
      </c>
      <c r="H163" s="862">
        <f>'8.Détails activités prév.'!AA30+'8.Détails activités prév.'!AA32</f>
        <v>0</v>
      </c>
    </row>
    <row r="164" spans="2:8" x14ac:dyDescent="0.25">
      <c r="B164" s="863" t="s">
        <v>503</v>
      </c>
      <c r="C164" s="862">
        <f>'6.Détails activités passés'!O41-'6.Détails activités passés'!O42+'6.Détails activités passés'!O45+'6.Détails activités passés'!O46</f>
        <v>0</v>
      </c>
      <c r="D164" s="862">
        <f>'6.Détails activités passés'!P41-'6.Détails activités passés'!P42+'6.Détails activités passés'!P45+'6.Détails activités passés'!P46</f>
        <v>0</v>
      </c>
      <c r="E164" s="862">
        <f>'6.Détails activités passés'!Q41-'6.Détails activités passés'!Q42+'6.Détails activités passés'!Q45+'6.Détails activités passés'!Q46</f>
        <v>0</v>
      </c>
      <c r="F164" s="862">
        <f>'8.Détails activités prév.'!Y17-'8.Détails activités prév.'!Y18+'8.Détails activités prév.'!Y21+'8.Détails activités prév.'!Y22</f>
        <v>0</v>
      </c>
      <c r="G164" s="862">
        <f>'8.Détails activités prév.'!Z31-'8.Détails activités prév.'!Z32+'8.Détails activités prév.'!Z35+'8.Détails activités prév.'!Z36</f>
        <v>0</v>
      </c>
      <c r="H164" s="862">
        <f>'8.Détails activités prév.'!AA31-'8.Détails activités prév.'!AA32+'8.Détails activités prév.'!AA35+'8.Détails activités prév.'!AA36</f>
        <v>0</v>
      </c>
    </row>
    <row r="167" spans="2:8" ht="39" customHeight="1" x14ac:dyDescent="0.25">
      <c r="B167" s="2291" t="s">
        <v>502</v>
      </c>
      <c r="C167" s="2291"/>
      <c r="D167" s="2291"/>
      <c r="E167" s="2291"/>
      <c r="F167" s="2291"/>
      <c r="G167" s="2291"/>
      <c r="H167" s="2291"/>
    </row>
  </sheetData>
  <sheetProtection password="CC57" sheet="1" objects="1" scenarios="1"/>
  <mergeCells count="2">
    <mergeCell ref="B167:H167"/>
    <mergeCell ref="J47:Q48"/>
  </mergeCells>
  <phoneticPr fontId="50" type="noConversion"/>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pageSetUpPr fitToPage="1"/>
  </sheetPr>
  <dimension ref="A1:X109"/>
  <sheetViews>
    <sheetView showGridLines="0" zoomScale="70" zoomScaleNormal="70" zoomScaleSheetLayoutView="80" zoomScalePageLayoutView="70" workbookViewId="0">
      <selection activeCell="H50" sqref="H50"/>
    </sheetView>
  </sheetViews>
  <sheetFormatPr baseColWidth="10" defaultColWidth="10.85546875" defaultRowHeight="23.25" customHeight="1" x14ac:dyDescent="0.25"/>
  <cols>
    <col min="1" max="1" width="2.7109375" style="185" customWidth="1"/>
    <col min="2" max="2" width="29.85546875" style="185" customWidth="1"/>
    <col min="3" max="8" width="11.7109375" style="185" customWidth="1"/>
    <col min="9" max="18" width="8.42578125" style="185" customWidth="1"/>
    <col min="19" max="21" width="10.42578125" style="185" customWidth="1"/>
    <col min="22" max="22" width="16.5703125" style="185" customWidth="1"/>
    <col min="23" max="16384" width="10.85546875" style="185"/>
  </cols>
  <sheetData>
    <row r="1" spans="1:24" ht="23.25" customHeight="1" x14ac:dyDescent="0.25">
      <c r="B1" s="25"/>
      <c r="C1" s="25"/>
      <c r="D1" s="25"/>
      <c r="E1" s="25"/>
      <c r="F1" s="25"/>
      <c r="G1" s="25"/>
      <c r="H1" s="25"/>
      <c r="I1" s="25"/>
    </row>
    <row r="2" spans="1:24" ht="32.25" customHeight="1" thickBot="1" x14ac:dyDescent="0.3">
      <c r="A2" s="25"/>
      <c r="B2" s="1964" t="s">
        <v>330</v>
      </c>
      <c r="C2" s="1965"/>
      <c r="D2" s="1965"/>
      <c r="E2" s="1965"/>
      <c r="F2" s="1965"/>
      <c r="G2" s="1965"/>
      <c r="H2" s="1965"/>
      <c r="I2" s="1965"/>
      <c r="J2" s="1965"/>
      <c r="K2" s="1965"/>
      <c r="L2" s="1965"/>
      <c r="M2" s="1965"/>
      <c r="N2" s="1965"/>
      <c r="O2" s="1965"/>
      <c r="P2" s="1965"/>
      <c r="Q2" s="1965"/>
      <c r="R2" s="1965"/>
      <c r="S2" s="1965"/>
      <c r="T2" s="1965"/>
      <c r="U2" s="1965"/>
      <c r="V2" s="1966"/>
    </row>
    <row r="3" spans="1:24" ht="23.25" customHeight="1" thickTop="1" x14ac:dyDescent="0.25">
      <c r="A3" s="192"/>
      <c r="B3" s="253"/>
      <c r="C3" s="253"/>
      <c r="D3" s="253"/>
      <c r="E3" s="253"/>
      <c r="F3" s="253"/>
      <c r="G3" s="253"/>
      <c r="H3" s="253"/>
      <c r="I3" s="192"/>
      <c r="J3" s="192"/>
      <c r="K3" s="192"/>
      <c r="L3" s="192"/>
      <c r="M3" s="192"/>
      <c r="N3" s="192"/>
      <c r="O3" s="192"/>
      <c r="P3" s="192"/>
      <c r="Q3" s="192"/>
      <c r="R3" s="192"/>
      <c r="S3" s="192"/>
      <c r="T3" s="192"/>
      <c r="U3" s="192"/>
      <c r="V3" s="192"/>
      <c r="W3" s="192"/>
      <c r="X3" s="192"/>
    </row>
    <row r="4" spans="1:24" ht="23.25" customHeight="1" x14ac:dyDescent="0.25">
      <c r="A4" s="192"/>
      <c r="B4" s="253"/>
      <c r="C4" s="253"/>
      <c r="D4" s="253"/>
      <c r="E4" s="253"/>
      <c r="F4" s="253"/>
      <c r="G4" s="253"/>
      <c r="H4" s="253"/>
      <c r="I4" s="192"/>
      <c r="J4" s="192"/>
      <c r="K4" s="192"/>
      <c r="L4" s="192"/>
      <c r="M4" s="192"/>
      <c r="N4" s="192"/>
      <c r="O4" s="192"/>
      <c r="P4" s="192"/>
      <c r="Q4" s="192"/>
      <c r="R4" s="192"/>
      <c r="S4" s="192"/>
      <c r="T4" s="192"/>
      <c r="U4" s="192"/>
      <c r="V4" s="192"/>
      <c r="W4" s="192"/>
      <c r="X4" s="192"/>
    </row>
    <row r="5" spans="1:24" ht="23.25" customHeight="1" thickBot="1" x14ac:dyDescent="0.3">
      <c r="A5" s="192"/>
      <c r="B5" s="2298" t="s">
        <v>11</v>
      </c>
      <c r="C5" s="2299"/>
      <c r="D5" s="2299"/>
      <c r="E5" s="2299"/>
      <c r="F5" s="2299"/>
      <c r="G5" s="2299"/>
      <c r="H5" s="2299"/>
      <c r="I5" s="2299"/>
      <c r="J5" s="2299"/>
      <c r="K5" s="2299"/>
      <c r="L5" s="2299"/>
      <c r="M5" s="2299"/>
      <c r="N5" s="2299"/>
      <c r="O5" s="2299"/>
      <c r="P5" s="2299"/>
      <c r="Q5" s="2299"/>
      <c r="R5" s="2299"/>
      <c r="S5" s="2299"/>
      <c r="T5" s="2299"/>
      <c r="U5" s="2299"/>
      <c r="V5" s="2300"/>
      <c r="W5" s="192"/>
      <c r="X5" s="192"/>
    </row>
    <row r="6" spans="1:24" ht="23.25" customHeight="1" thickTop="1" x14ac:dyDescent="0.25">
      <c r="A6" s="192"/>
      <c r="B6" s="579"/>
      <c r="C6" s="579"/>
      <c r="D6" s="579"/>
      <c r="E6" s="579"/>
      <c r="F6" s="579"/>
      <c r="G6" s="579"/>
      <c r="H6" s="579"/>
      <c r="I6" s="580"/>
      <c r="J6" s="580"/>
      <c r="K6" s="580"/>
      <c r="L6" s="580"/>
      <c r="M6" s="580"/>
      <c r="N6" s="580"/>
      <c r="O6" s="580"/>
      <c r="P6" s="580"/>
      <c r="Q6" s="580"/>
      <c r="R6" s="580"/>
      <c r="S6" s="580"/>
      <c r="T6" s="580"/>
      <c r="U6" s="580"/>
      <c r="V6" s="580"/>
      <c r="W6" s="192"/>
      <c r="X6" s="192"/>
    </row>
    <row r="7" spans="1:24" ht="23.25" customHeight="1" x14ac:dyDescent="0.25">
      <c r="A7" s="192"/>
      <c r="B7" s="253"/>
      <c r="C7" s="253"/>
      <c r="D7" s="253"/>
      <c r="E7" s="253"/>
      <c r="F7" s="253"/>
      <c r="G7" s="253"/>
      <c r="H7" s="253"/>
      <c r="I7" s="251"/>
      <c r="J7" s="251"/>
      <c r="K7" s="251"/>
      <c r="L7" s="251"/>
      <c r="M7" s="251"/>
      <c r="N7" s="251"/>
      <c r="O7" s="251"/>
      <c r="P7" s="251"/>
      <c r="Q7" s="251"/>
      <c r="R7" s="251"/>
      <c r="S7" s="251"/>
      <c r="T7" s="251"/>
      <c r="U7" s="251"/>
      <c r="V7" s="251"/>
      <c r="W7" s="192"/>
      <c r="X7" s="192"/>
    </row>
    <row r="8" spans="1:24" ht="23.25" customHeight="1" x14ac:dyDescent="0.25">
      <c r="A8" s="192"/>
      <c r="B8" s="253"/>
      <c r="C8" s="253"/>
      <c r="D8" s="253"/>
      <c r="E8" s="253"/>
      <c r="F8" s="253"/>
      <c r="G8" s="253"/>
      <c r="H8" s="253"/>
      <c r="I8" s="251"/>
      <c r="J8" s="251"/>
      <c r="K8" s="251"/>
      <c r="L8" s="251"/>
      <c r="M8" s="251"/>
      <c r="N8" s="251"/>
      <c r="O8" s="251"/>
      <c r="P8" s="251"/>
      <c r="Q8" s="251"/>
      <c r="R8" s="251"/>
      <c r="S8" s="251"/>
      <c r="T8" s="251"/>
      <c r="U8" s="251"/>
      <c r="V8" s="251"/>
      <c r="W8" s="192"/>
      <c r="X8" s="192"/>
    </row>
    <row r="9" spans="1:24" ht="23.25" customHeight="1" x14ac:dyDescent="0.25">
      <c r="A9" s="192"/>
      <c r="B9" s="253"/>
      <c r="C9" s="253"/>
      <c r="D9" s="253"/>
      <c r="E9" s="253"/>
      <c r="F9" s="253"/>
      <c r="G9" s="253"/>
      <c r="H9" s="253"/>
      <c r="I9" s="251"/>
      <c r="J9" s="251"/>
      <c r="K9" s="251"/>
      <c r="L9" s="251"/>
      <c r="M9" s="251"/>
      <c r="N9" s="251"/>
      <c r="O9" s="251"/>
      <c r="P9" s="251"/>
      <c r="Q9" s="251"/>
      <c r="R9" s="251"/>
      <c r="S9" s="251"/>
      <c r="T9" s="251"/>
      <c r="U9" s="251"/>
      <c r="V9" s="251"/>
      <c r="W9" s="192"/>
      <c r="X9" s="192"/>
    </row>
    <row r="10" spans="1:24" ht="36.75" customHeight="1" x14ac:dyDescent="0.25">
      <c r="B10" s="3"/>
      <c r="C10" s="1595">
        <f>D10-1</f>
        <v>2014</v>
      </c>
      <c r="D10" s="1596">
        <f>E10-1</f>
        <v>2015</v>
      </c>
      <c r="E10" s="1596">
        <f>'A.1.Présentation structure'!C22</f>
        <v>2016</v>
      </c>
      <c r="F10" s="1597">
        <f>E10+1</f>
        <v>2017</v>
      </c>
      <c r="G10" s="1597">
        <f>F10+1</f>
        <v>2018</v>
      </c>
      <c r="H10" s="1598">
        <f>G10+1</f>
        <v>2019</v>
      </c>
      <c r="I10" s="1589"/>
      <c r="J10" s="25"/>
      <c r="K10" s="1590"/>
      <c r="L10" s="25"/>
      <c r="M10" s="1590"/>
      <c r="N10" s="25"/>
      <c r="O10" s="1590"/>
      <c r="P10" s="503"/>
      <c r="Q10" s="503"/>
      <c r="R10" s="503"/>
    </row>
    <row r="11" spans="1:24" ht="36.75" customHeight="1" x14ac:dyDescent="0.25">
      <c r="B11" s="1593" t="s">
        <v>34</v>
      </c>
      <c r="C11" s="1599">
        <f>'6.Détails activités passés'!C11+'6.Détails activités passés'!F11+'6.Détails activités passés'!I11+'6.Détails activités passés'!L11+'6.Détails activités passés'!U11</f>
        <v>0</v>
      </c>
      <c r="D11" s="1600">
        <f>'6.Détails activités passés'!D11+'6.Détails activités passés'!G11+'6.Détails activités passés'!J11+'6.Détails activités passés'!M11+'6.Détails activités passés'!V11</f>
        <v>0</v>
      </c>
      <c r="E11" s="1600">
        <f>'6.Détails activités passés'!E11+'6.Détails activités passés'!H11+'6.Détails activités passés'!K11+'6.Détails activités passés'!N11+'6.Détails activités passés'!W11</f>
        <v>0</v>
      </c>
      <c r="F11" s="1601">
        <f>'8.Détails activités prév.'!E11+'8.Détails activités prév.'!I11+'8.Détails activités prév.'!M11+'8.Détails activités prév.'!Q11+'8.Détails activités prév.'!AC11</f>
        <v>0</v>
      </c>
      <c r="G11" s="1601">
        <f>'8.Détails activités prév.'!F11+'8.Détails activités prév.'!J11+'8.Détails activités prév.'!N11+'8.Détails activités prév.'!R11+'8.Détails activités prév.'!AD11</f>
        <v>0</v>
      </c>
      <c r="H11" s="1602">
        <f>'8.Détails activités prév.'!G11+'8.Détails activités prév.'!K11+'8.Détails activités prév.'!O11+'8.Détails activités prév.'!S11+'8.Détails activités prév.'!AE11</f>
        <v>0</v>
      </c>
      <c r="I11" s="1591"/>
      <c r="J11" s="25"/>
      <c r="K11" s="257"/>
      <c r="L11" s="25"/>
      <c r="M11" s="257"/>
      <c r="N11" s="25"/>
      <c r="O11" s="257"/>
      <c r="P11" s="504"/>
      <c r="Q11" s="504"/>
      <c r="R11" s="504"/>
    </row>
    <row r="12" spans="1:24" ht="36.75" customHeight="1" x14ac:dyDescent="0.25">
      <c r="B12" s="1593" t="s">
        <v>508</v>
      </c>
      <c r="C12" s="1599">
        <f>'C.4.Répartition effectifs'!K14</f>
        <v>0</v>
      </c>
      <c r="D12" s="1600">
        <f>'C.4.Répartition effectifs'!K27</f>
        <v>0</v>
      </c>
      <c r="E12" s="1600">
        <f>'C.4.Répartition effectifs'!K40</f>
        <v>0</v>
      </c>
      <c r="F12" s="1601">
        <f>'C.4.Répartition effectifs'!K53</f>
        <v>0</v>
      </c>
      <c r="G12" s="1601">
        <f>'C.4.Répartition effectifs'!K66</f>
        <v>0</v>
      </c>
      <c r="H12" s="1602">
        <f>'C.4.Répartition effectifs'!K79</f>
        <v>0</v>
      </c>
      <c r="I12" s="1591"/>
      <c r="J12" s="25"/>
      <c r="K12" s="257"/>
      <c r="L12" s="25"/>
      <c r="M12" s="257"/>
      <c r="N12" s="25"/>
      <c r="O12" s="257"/>
      <c r="P12" s="504"/>
      <c r="Q12" s="979"/>
      <c r="R12" s="504"/>
    </row>
    <row r="13" spans="1:24" ht="36.75" customHeight="1" x14ac:dyDescent="0.25">
      <c r="B13" s="1594" t="s">
        <v>32</v>
      </c>
      <c r="C13" s="1603" t="str">
        <f>IF((C12=0),"-",((C12-C11)/C12))</f>
        <v>-</v>
      </c>
      <c r="D13" s="1604" t="str">
        <f t="shared" ref="D13" si="0">IF((D12=0),"-",((D12-D11)/D12))</f>
        <v>-</v>
      </c>
      <c r="E13" s="1604" t="str">
        <f t="shared" ref="E13" si="1">IF((E12=0),"-",((E12-E11)/E12))</f>
        <v>-</v>
      </c>
      <c r="F13" s="1604" t="str">
        <f t="shared" ref="F13" si="2">IF((F12=0),"-",((F12-F11)/F12))</f>
        <v>-</v>
      </c>
      <c r="G13" s="1604" t="str">
        <f t="shared" ref="G13" si="3">IF((G12=0),"-",((G12-G11)/G12))</f>
        <v>-</v>
      </c>
      <c r="H13" s="1605" t="str">
        <f t="shared" ref="H13" si="4">IF((H12=0),"-",((H12-H11)/H12))</f>
        <v>-</v>
      </c>
      <c r="I13" s="1592"/>
      <c r="J13" s="25"/>
      <c r="K13" s="1592"/>
      <c r="L13" s="25"/>
      <c r="M13" s="1592"/>
      <c r="N13" s="25"/>
      <c r="O13" s="1592"/>
      <c r="P13" s="505"/>
      <c r="Q13" s="976"/>
      <c r="R13" s="505"/>
    </row>
    <row r="14" spans="1:24" ht="23.25" customHeight="1" x14ac:dyDescent="0.25">
      <c r="Q14" s="977"/>
    </row>
    <row r="15" spans="1:24" ht="23.25" customHeight="1" x14ac:dyDescent="0.25">
      <c r="A15" s="25"/>
      <c r="W15" s="419"/>
    </row>
    <row r="16" spans="1:24" ht="23.25" customHeight="1" x14ac:dyDescent="0.25">
      <c r="B16" s="25"/>
      <c r="C16" s="25"/>
      <c r="D16" s="25"/>
      <c r="E16" s="25"/>
      <c r="F16" s="25"/>
      <c r="G16" s="25"/>
      <c r="J16" s="95"/>
      <c r="X16" s="501"/>
    </row>
    <row r="22" spans="1:24" ht="23.25" customHeight="1" x14ac:dyDescent="0.25">
      <c r="A22" s="192"/>
      <c r="B22" s="251"/>
      <c r="C22" s="251"/>
      <c r="D22" s="251"/>
      <c r="E22" s="251"/>
      <c r="F22" s="251"/>
      <c r="G22" s="251"/>
      <c r="H22" s="251"/>
      <c r="I22" s="251"/>
      <c r="J22" s="251"/>
      <c r="K22" s="251"/>
      <c r="L22" s="251"/>
      <c r="M22" s="251"/>
      <c r="N22" s="251"/>
      <c r="O22" s="192"/>
      <c r="P22" s="192"/>
      <c r="Q22" s="192"/>
      <c r="R22" s="192"/>
      <c r="S22" s="192"/>
      <c r="T22" s="192"/>
      <c r="U22" s="192"/>
      <c r="V22" s="192"/>
      <c r="X22" s="192"/>
    </row>
    <row r="23" spans="1:24" ht="23.25" customHeight="1" thickBot="1" x14ac:dyDescent="0.3">
      <c r="A23" s="251"/>
      <c r="B23" s="2298" t="s">
        <v>12</v>
      </c>
      <c r="C23" s="2299"/>
      <c r="D23" s="2299"/>
      <c r="E23" s="2299"/>
      <c r="F23" s="2299"/>
      <c r="G23" s="2299"/>
      <c r="H23" s="2299"/>
      <c r="I23" s="2299"/>
      <c r="J23" s="2299"/>
      <c r="K23" s="2299"/>
      <c r="L23" s="2299"/>
      <c r="M23" s="2299"/>
      <c r="N23" s="2299"/>
      <c r="O23" s="2299"/>
      <c r="P23" s="2299"/>
      <c r="Q23" s="2299"/>
      <c r="R23" s="2299"/>
      <c r="S23" s="2299"/>
      <c r="T23" s="2299"/>
      <c r="U23" s="2299"/>
      <c r="V23" s="2300"/>
      <c r="W23" s="192"/>
      <c r="X23" s="192"/>
    </row>
    <row r="24" spans="1:24" ht="23.25" customHeight="1" thickTop="1" x14ac:dyDescent="0.25">
      <c r="A24" s="192"/>
      <c r="B24" s="192"/>
      <c r="C24" s="251"/>
      <c r="D24" s="251"/>
      <c r="E24" s="251"/>
      <c r="F24" s="251"/>
      <c r="G24" s="251"/>
      <c r="H24" s="251"/>
      <c r="I24" s="251"/>
      <c r="J24" s="251"/>
      <c r="K24" s="251"/>
      <c r="L24" s="251"/>
      <c r="M24" s="251"/>
      <c r="N24" s="251"/>
      <c r="O24" s="192"/>
      <c r="P24" s="192"/>
      <c r="Q24" s="192"/>
      <c r="R24" s="192"/>
      <c r="S24" s="192"/>
      <c r="T24" s="192"/>
      <c r="U24" s="192"/>
      <c r="V24" s="192"/>
      <c r="W24" s="192"/>
      <c r="X24" s="192"/>
    </row>
    <row r="25" spans="1:24" ht="23.25" customHeight="1" x14ac:dyDescent="0.25">
      <c r="A25" s="192"/>
      <c r="B25" s="192"/>
      <c r="C25" s="251"/>
      <c r="D25" s="251"/>
      <c r="E25" s="251"/>
      <c r="F25" s="251"/>
      <c r="G25" s="251"/>
      <c r="H25" s="251"/>
      <c r="I25" s="251"/>
      <c r="J25" s="251"/>
      <c r="K25" s="251"/>
      <c r="L25" s="251"/>
      <c r="M25" s="251"/>
      <c r="N25" s="251"/>
      <c r="O25" s="192"/>
      <c r="P25" s="192"/>
      <c r="Q25" s="192"/>
      <c r="R25" s="192"/>
      <c r="S25" s="192"/>
      <c r="T25" s="192"/>
      <c r="U25" s="192"/>
      <c r="V25" s="192"/>
      <c r="W25" s="192"/>
      <c r="X25" s="192"/>
    </row>
    <row r="26" spans="1:24" ht="23.25" customHeight="1" x14ac:dyDescent="0.25">
      <c r="A26" s="192"/>
      <c r="B26" s="2292" t="s">
        <v>514</v>
      </c>
      <c r="C26" s="2293"/>
      <c r="D26" s="2294"/>
      <c r="E26" s="251"/>
      <c r="F26" s="251"/>
      <c r="G26" s="251"/>
      <c r="H26" s="251"/>
      <c r="I26" s="251"/>
      <c r="J26" s="251"/>
      <c r="K26" s="251"/>
      <c r="L26" s="251"/>
      <c r="M26" s="251"/>
      <c r="N26" s="251"/>
      <c r="O26" s="192"/>
      <c r="P26" s="192"/>
      <c r="Q26" s="192"/>
      <c r="R26" s="192"/>
      <c r="S26" s="192"/>
      <c r="T26" s="192"/>
      <c r="U26" s="192"/>
      <c r="V26" s="192"/>
      <c r="W26" s="192"/>
      <c r="X26" s="192"/>
    </row>
    <row r="27" spans="1:24" ht="23.25" customHeight="1" thickBot="1" x14ac:dyDescent="0.3">
      <c r="A27" s="192"/>
      <c r="B27" s="2295"/>
      <c r="C27" s="2296"/>
      <c r="D27" s="2297"/>
      <c r="E27" s="251"/>
      <c r="F27" s="251"/>
      <c r="G27" s="251"/>
      <c r="H27" s="251"/>
      <c r="I27" s="251"/>
      <c r="J27" s="251"/>
      <c r="K27" s="251"/>
      <c r="L27" s="251"/>
      <c r="M27" s="251"/>
      <c r="N27" s="251"/>
      <c r="O27" s="192"/>
      <c r="P27" s="192"/>
      <c r="Q27" s="192"/>
      <c r="R27" s="192"/>
      <c r="S27" s="192"/>
      <c r="T27" s="192"/>
      <c r="U27" s="192"/>
      <c r="V27" s="192"/>
      <c r="W27" s="192"/>
      <c r="X27" s="192"/>
    </row>
    <row r="28" spans="1:24" ht="23.25" customHeight="1" thickTop="1" x14ac:dyDescent="0.25">
      <c r="A28" s="192"/>
      <c r="B28" s="1608"/>
      <c r="C28" s="1608"/>
      <c r="D28" s="251"/>
      <c r="E28" s="251"/>
      <c r="F28" s="251"/>
      <c r="G28" s="251"/>
      <c r="H28" s="251"/>
      <c r="I28" s="251"/>
      <c r="J28" s="251"/>
      <c r="K28" s="251"/>
      <c r="L28" s="251"/>
      <c r="M28" s="251"/>
      <c r="N28" s="251"/>
      <c r="O28" s="192"/>
      <c r="P28" s="192"/>
      <c r="Q28" s="192"/>
      <c r="R28" s="192"/>
      <c r="S28" s="192"/>
      <c r="T28" s="192"/>
      <c r="U28" s="192"/>
      <c r="V28" s="192"/>
      <c r="W28" s="192"/>
      <c r="X28" s="192"/>
    </row>
    <row r="29" spans="1:24" ht="23.25" customHeight="1" x14ac:dyDescent="0.25">
      <c r="A29" s="192"/>
      <c r="B29" s="502"/>
      <c r="C29" s="502"/>
      <c r="D29" s="502"/>
      <c r="E29" s="502"/>
      <c r="F29" s="502"/>
      <c r="G29" s="502"/>
      <c r="H29" s="502"/>
      <c r="I29" s="251"/>
      <c r="J29" s="251"/>
      <c r="K29" s="251"/>
      <c r="L29" s="251"/>
      <c r="M29" s="251"/>
      <c r="N29" s="251"/>
      <c r="O29" s="192"/>
      <c r="P29" s="192"/>
      <c r="Q29" s="192"/>
      <c r="R29" s="192"/>
      <c r="S29" s="192"/>
      <c r="T29" s="192"/>
      <c r="U29" s="192"/>
      <c r="V29" s="192"/>
      <c r="W29" s="192"/>
      <c r="X29" s="192"/>
    </row>
    <row r="30" spans="1:24" ht="23.25" customHeight="1" x14ac:dyDescent="0.25">
      <c r="A30" s="192"/>
      <c r="B30" s="502"/>
      <c r="C30" s="502"/>
      <c r="D30" s="251"/>
      <c r="E30" s="251"/>
      <c r="F30" s="251"/>
      <c r="G30" s="251"/>
      <c r="H30" s="251"/>
      <c r="I30" s="251"/>
      <c r="J30" s="251"/>
      <c r="K30" s="251"/>
      <c r="L30" s="251"/>
      <c r="M30" s="251"/>
      <c r="N30" s="251"/>
      <c r="O30" s="192"/>
      <c r="P30" s="192"/>
      <c r="Q30" s="192"/>
      <c r="R30" s="192"/>
      <c r="S30" s="192"/>
      <c r="T30" s="192"/>
      <c r="U30" s="192"/>
      <c r="V30" s="192"/>
      <c r="W30" s="192"/>
      <c r="X30" s="192"/>
    </row>
    <row r="31" spans="1:24" ht="23.25" customHeight="1" x14ac:dyDescent="0.25">
      <c r="A31" s="192"/>
      <c r="B31" s="192"/>
      <c r="C31" s="251"/>
      <c r="D31" s="251"/>
      <c r="E31" s="251"/>
      <c r="F31" s="251"/>
      <c r="G31" s="251"/>
      <c r="H31" s="251"/>
      <c r="I31" s="251"/>
      <c r="J31" s="251"/>
      <c r="K31" s="251"/>
      <c r="L31" s="251"/>
      <c r="M31" s="251"/>
      <c r="N31" s="251"/>
      <c r="O31" s="192"/>
      <c r="P31" s="192"/>
      <c r="Q31" s="192"/>
      <c r="R31" s="192"/>
      <c r="S31" s="192"/>
      <c r="T31" s="192"/>
      <c r="U31" s="192"/>
      <c r="V31" s="192"/>
      <c r="W31" s="192"/>
      <c r="X31" s="192"/>
    </row>
    <row r="32" spans="1:24" ht="23.25" customHeight="1" x14ac:dyDescent="0.25">
      <c r="A32" s="192"/>
      <c r="B32" s="192"/>
      <c r="C32" s="251"/>
      <c r="D32" s="251"/>
      <c r="E32" s="251"/>
      <c r="F32" s="251"/>
      <c r="G32" s="251"/>
      <c r="H32" s="251"/>
      <c r="I32" s="251"/>
      <c r="J32" s="251"/>
      <c r="K32" s="251"/>
      <c r="L32" s="251"/>
      <c r="M32" s="251"/>
      <c r="N32" s="251"/>
      <c r="O32" s="192"/>
      <c r="P32" s="192"/>
      <c r="Q32" s="192"/>
      <c r="R32" s="192"/>
      <c r="S32" s="192"/>
      <c r="T32" s="192"/>
      <c r="U32" s="192"/>
      <c r="V32" s="192"/>
      <c r="W32" s="192"/>
      <c r="X32" s="192"/>
    </row>
    <row r="33" spans="1:24" ht="23.25" customHeight="1" x14ac:dyDescent="0.25">
      <c r="A33" s="192"/>
      <c r="B33" s="192"/>
      <c r="C33" s="251"/>
      <c r="D33" s="251"/>
      <c r="E33" s="251"/>
      <c r="F33" s="251"/>
      <c r="G33" s="251"/>
      <c r="H33" s="251"/>
      <c r="I33" s="251"/>
      <c r="J33" s="251"/>
      <c r="K33" s="251"/>
      <c r="L33" s="251"/>
      <c r="M33" s="251"/>
      <c r="N33" s="251"/>
      <c r="O33" s="192"/>
      <c r="P33" s="192"/>
      <c r="Q33" s="192"/>
      <c r="R33" s="192"/>
      <c r="S33" s="192"/>
      <c r="T33" s="192"/>
      <c r="U33" s="192"/>
      <c r="V33" s="192"/>
      <c r="W33" s="192"/>
      <c r="X33" s="192"/>
    </row>
    <row r="34" spans="1:24" ht="23.25" customHeight="1" x14ac:dyDescent="0.25">
      <c r="A34" s="192"/>
      <c r="B34" s="192"/>
      <c r="C34" s="251"/>
      <c r="D34" s="251"/>
      <c r="E34" s="251"/>
      <c r="F34" s="251"/>
      <c r="G34" s="251"/>
      <c r="H34" s="251"/>
      <c r="I34" s="251"/>
      <c r="J34" s="251"/>
      <c r="K34" s="251"/>
      <c r="L34" s="251"/>
      <c r="M34" s="251"/>
      <c r="N34" s="251"/>
      <c r="O34" s="192"/>
      <c r="P34" s="192"/>
      <c r="Q34" s="192"/>
      <c r="R34" s="192"/>
      <c r="S34" s="192"/>
      <c r="T34" s="192"/>
      <c r="U34" s="192"/>
      <c r="V34" s="192"/>
      <c r="W34" s="192"/>
      <c r="X34" s="192"/>
    </row>
    <row r="35" spans="1:24" ht="23.25" customHeight="1" x14ac:dyDescent="0.25">
      <c r="A35" s="192"/>
      <c r="B35" s="192"/>
      <c r="C35" s="251"/>
      <c r="D35" s="251"/>
      <c r="E35" s="251"/>
      <c r="F35" s="251"/>
      <c r="G35" s="251"/>
      <c r="H35" s="251"/>
      <c r="I35" s="251"/>
      <c r="J35" s="251"/>
      <c r="K35" s="251"/>
      <c r="L35" s="251"/>
      <c r="M35" s="251"/>
      <c r="N35" s="251"/>
      <c r="O35" s="192"/>
      <c r="P35" s="192"/>
      <c r="Q35" s="192"/>
      <c r="R35" s="192"/>
      <c r="S35" s="192"/>
      <c r="T35" s="192"/>
      <c r="U35" s="192"/>
      <c r="V35" s="192"/>
      <c r="W35" s="192"/>
      <c r="X35" s="192"/>
    </row>
    <row r="36" spans="1:24" ht="23.25" customHeight="1" x14ac:dyDescent="0.25">
      <c r="A36" s="192"/>
      <c r="B36" s="192"/>
      <c r="C36" s="251"/>
      <c r="D36" s="251"/>
      <c r="E36" s="251"/>
      <c r="F36" s="251"/>
      <c r="G36" s="251"/>
      <c r="H36" s="251"/>
      <c r="I36" s="251"/>
      <c r="J36" s="251"/>
      <c r="K36" s="251"/>
      <c r="L36" s="251"/>
      <c r="M36" s="251"/>
      <c r="N36" s="251"/>
      <c r="O36" s="192"/>
      <c r="P36" s="192"/>
      <c r="Q36" s="192"/>
      <c r="R36" s="192"/>
      <c r="S36" s="192"/>
      <c r="T36" s="192"/>
      <c r="U36" s="192"/>
      <c r="V36" s="192"/>
      <c r="W36" s="192"/>
      <c r="X36" s="192"/>
    </row>
    <row r="37" spans="1:24" ht="23.25" customHeight="1" x14ac:dyDescent="0.25">
      <c r="A37" s="192"/>
      <c r="B37" s="192"/>
      <c r="C37" s="251"/>
      <c r="D37" s="251"/>
      <c r="E37" s="251"/>
      <c r="F37" s="251"/>
      <c r="G37" s="251"/>
      <c r="H37" s="251"/>
      <c r="I37" s="251"/>
      <c r="J37" s="251"/>
      <c r="K37" s="251"/>
      <c r="L37" s="251"/>
      <c r="M37" s="251"/>
      <c r="N37" s="251"/>
      <c r="O37" s="192"/>
      <c r="P37" s="192"/>
      <c r="Q37" s="192"/>
      <c r="R37" s="192"/>
      <c r="S37" s="192"/>
      <c r="T37" s="192"/>
      <c r="U37" s="192"/>
      <c r="V37" s="192"/>
      <c r="W37" s="192"/>
      <c r="X37" s="192"/>
    </row>
    <row r="38" spans="1:24" ht="23.25" customHeight="1" x14ac:dyDescent="0.25">
      <c r="A38" s="192"/>
      <c r="B38" s="192"/>
      <c r="C38" s="251"/>
      <c r="D38" s="251"/>
      <c r="E38" s="251"/>
      <c r="F38" s="251"/>
      <c r="G38" s="251"/>
      <c r="H38" s="251"/>
      <c r="I38" s="251"/>
      <c r="J38" s="251"/>
      <c r="K38" s="251"/>
      <c r="L38" s="251"/>
      <c r="M38" s="251"/>
      <c r="N38" s="251"/>
      <c r="O38" s="192"/>
      <c r="P38" s="192"/>
      <c r="Q38" s="192"/>
      <c r="R38" s="192"/>
      <c r="S38" s="192"/>
      <c r="T38" s="192"/>
      <c r="U38" s="192"/>
      <c r="V38" s="192"/>
      <c r="W38" s="192"/>
      <c r="X38" s="192"/>
    </row>
    <row r="39" spans="1:24" ht="33" customHeight="1" thickBot="1" x14ac:dyDescent="0.3">
      <c r="A39" s="192"/>
      <c r="B39" s="2316" t="s">
        <v>20</v>
      </c>
      <c r="C39" s="2317"/>
      <c r="D39" s="2317"/>
      <c r="E39" s="2317"/>
      <c r="F39" s="2317"/>
      <c r="G39" s="2317"/>
      <c r="H39" s="2318"/>
      <c r="I39" s="502"/>
      <c r="J39" s="2313" t="s">
        <v>501</v>
      </c>
      <c r="K39" s="2314"/>
      <c r="L39" s="2314"/>
      <c r="M39" s="2314"/>
      <c r="N39" s="2314"/>
      <c r="O39" s="2314"/>
      <c r="P39" s="2314"/>
      <c r="Q39" s="2314"/>
      <c r="R39" s="2314"/>
      <c r="S39" s="2314"/>
      <c r="T39" s="2314"/>
      <c r="U39" s="2314"/>
      <c r="V39" s="2315"/>
      <c r="W39" s="501"/>
      <c r="X39" s="192"/>
    </row>
    <row r="40" spans="1:24" ht="33.75" customHeight="1" thickTop="1" x14ac:dyDescent="0.25">
      <c r="A40" s="192"/>
      <c r="B40" s="855"/>
      <c r="C40" s="855"/>
      <c r="D40" s="855"/>
      <c r="E40" s="855"/>
      <c r="F40" s="855"/>
      <c r="G40" s="855"/>
      <c r="H40" s="855"/>
      <c r="I40" s="502"/>
      <c r="J40" s="578"/>
      <c r="K40" s="578"/>
      <c r="L40" s="578"/>
      <c r="M40" s="578"/>
      <c r="N40" s="578"/>
      <c r="O40" s="578"/>
      <c r="P40" s="578"/>
      <c r="Q40" s="578"/>
      <c r="R40" s="578"/>
      <c r="S40" s="578"/>
      <c r="T40" s="192"/>
      <c r="U40" s="192"/>
      <c r="V40" s="192"/>
      <c r="W40" s="501"/>
      <c r="X40" s="192"/>
    </row>
    <row r="41" spans="1:24" ht="30" customHeight="1" x14ac:dyDescent="0.25">
      <c r="A41" s="192"/>
      <c r="B41" s="501"/>
      <c r="C41" s="251"/>
      <c r="D41" s="251"/>
      <c r="E41" s="251"/>
      <c r="F41" s="251"/>
      <c r="G41" s="251"/>
      <c r="H41" s="251"/>
      <c r="I41" s="251"/>
      <c r="J41" s="192"/>
      <c r="K41" s="192"/>
      <c r="L41" s="192"/>
      <c r="M41" s="192"/>
      <c r="N41" s="192"/>
      <c r="O41" s="192"/>
      <c r="P41" s="192"/>
      <c r="Q41" s="192"/>
      <c r="R41" s="192"/>
      <c r="S41" s="192"/>
      <c r="T41" s="192"/>
      <c r="U41" s="192"/>
      <c r="V41" s="192"/>
      <c r="W41" s="192"/>
      <c r="X41" s="192"/>
    </row>
    <row r="42" spans="1:24" ht="30" customHeight="1" x14ac:dyDescent="0.25">
      <c r="A42" s="192"/>
      <c r="B42" s="192"/>
      <c r="C42" s="251"/>
      <c r="D42" s="251"/>
      <c r="E42" s="251"/>
      <c r="F42" s="251"/>
      <c r="G42" s="251"/>
      <c r="H42" s="251"/>
      <c r="I42" s="251"/>
      <c r="J42" s="192"/>
      <c r="K42" s="192"/>
      <c r="L42" s="192"/>
      <c r="M42" s="192"/>
      <c r="N42" s="192"/>
      <c r="O42" s="192"/>
      <c r="P42" s="192"/>
      <c r="Q42" s="192"/>
      <c r="R42" s="192"/>
      <c r="S42" s="192"/>
      <c r="T42" s="192"/>
      <c r="U42" s="192"/>
      <c r="V42" s="192"/>
      <c r="W42" s="192"/>
      <c r="X42" s="192"/>
    </row>
    <row r="43" spans="1:24" ht="33.75" customHeight="1" x14ac:dyDescent="0.25">
      <c r="A43" s="192"/>
      <c r="B43" s="1390" t="str">
        <f>'Sources schémas'!B85</f>
        <v>Services d'aide à domicile 
PA/PH - Prestataire</v>
      </c>
      <c r="C43" s="326">
        <f>D43-1</f>
        <v>2014</v>
      </c>
      <c r="D43" s="326">
        <f>E43-1</f>
        <v>2015</v>
      </c>
      <c r="E43" s="326">
        <f>'A.1.Présentation structure'!C22</f>
        <v>2016</v>
      </c>
      <c r="F43" s="768">
        <f>E43+1</f>
        <v>2017</v>
      </c>
      <c r="G43" s="768">
        <f>F43+1</f>
        <v>2018</v>
      </c>
      <c r="H43" s="741">
        <f>G43+1</f>
        <v>2019</v>
      </c>
      <c r="I43" s="256"/>
      <c r="J43" s="192"/>
      <c r="K43" s="192"/>
      <c r="L43" s="192"/>
      <c r="M43" s="192"/>
      <c r="N43" s="192"/>
      <c r="O43" s="192"/>
      <c r="P43" s="192"/>
      <c r="Q43" s="192"/>
      <c r="R43" s="192"/>
      <c r="S43" s="192"/>
      <c r="T43" s="192"/>
      <c r="U43" s="192"/>
      <c r="V43" s="192"/>
      <c r="W43" s="192"/>
      <c r="X43" s="192"/>
    </row>
    <row r="44" spans="1:24" ht="33.75" customHeight="1" x14ac:dyDescent="0.25">
      <c r="A44" s="192"/>
      <c r="B44" s="323" t="s">
        <v>260</v>
      </c>
      <c r="C44" s="1360">
        <f>'6.Détails activités passés'!C49</f>
        <v>0</v>
      </c>
      <c r="D44" s="327">
        <f>'6.Détails activités passés'!D49</f>
        <v>0</v>
      </c>
      <c r="E44" s="327">
        <f>'6.Détails activités passés'!E49</f>
        <v>0</v>
      </c>
      <c r="F44" s="330">
        <f>'8.Détails activités prév.'!E39</f>
        <v>0</v>
      </c>
      <c r="G44" s="330">
        <f>'8.Détails activités prév.'!F39</f>
        <v>0</v>
      </c>
      <c r="H44" s="849">
        <f>'8.Détails activités prév.'!G39</f>
        <v>0</v>
      </c>
      <c r="I44" s="257"/>
      <c r="J44" s="192"/>
      <c r="K44" s="192"/>
      <c r="L44" s="192"/>
      <c r="M44" s="192"/>
      <c r="N44" s="192"/>
      <c r="O44" s="192"/>
      <c r="P44" s="192"/>
      <c r="Q44" s="192"/>
      <c r="R44" s="192"/>
      <c r="S44" s="192"/>
      <c r="T44" s="192"/>
      <c r="U44" s="192"/>
      <c r="V44" s="192"/>
      <c r="W44" s="192"/>
      <c r="X44" s="192"/>
    </row>
    <row r="45" spans="1:24" ht="33.75" customHeight="1" x14ac:dyDescent="0.25">
      <c r="A45" s="192"/>
      <c r="B45" s="324" t="s">
        <v>0</v>
      </c>
      <c r="C45" s="1361" t="str">
        <f>IF('6.Détails activités passés'!C33=0, "-",'6.Détails activités passés'!C49/'6.Détails activités passés'!C33)</f>
        <v>-</v>
      </c>
      <c r="D45" s="847" t="str">
        <f>IF('6.Détails activités passés'!D33=0, "-",'6.Détails activités passés'!D49/'6.Détails activités passés'!D33)</f>
        <v>-</v>
      </c>
      <c r="E45" s="847" t="str">
        <f>IF('6.Détails activités passés'!E33=0, "-",'6.Détails activités passés'!E49 /'6.Détails activités passés'!E33)</f>
        <v>-</v>
      </c>
      <c r="F45" s="331" t="str">
        <f>IF('8.Détails activités prév.'!E23=0, "-", '8.Détails activités prév.'!E39/'8.Détails activités prév.'!E23)</f>
        <v>-</v>
      </c>
      <c r="G45" s="331" t="str">
        <f>IF('8.Détails activités prév.'!F23=0, "-", '8.Détails activités prév.'!F39/'8.Détails activités prév.'!F23)</f>
        <v>-</v>
      </c>
      <c r="H45" s="850" t="str">
        <f>IF('8.Détails activités prév.'!G23=0, "-", '8.Détails activités prév.'!G39/'8.Détails activités prév.'!G23)</f>
        <v>-</v>
      </c>
      <c r="I45" s="258"/>
      <c r="J45" s="192"/>
      <c r="K45" s="192"/>
      <c r="L45" s="192"/>
      <c r="M45" s="192"/>
      <c r="N45" s="192"/>
      <c r="O45" s="192"/>
      <c r="P45" s="192"/>
      <c r="Q45" s="192"/>
      <c r="R45" s="192"/>
      <c r="S45" s="192"/>
      <c r="T45" s="192"/>
      <c r="U45" s="192"/>
      <c r="V45" s="192"/>
      <c r="W45" s="192"/>
      <c r="X45" s="192"/>
    </row>
    <row r="46" spans="1:24" ht="33.75" customHeight="1" x14ac:dyDescent="0.25">
      <c r="A46" s="192"/>
      <c r="B46" s="324" t="s">
        <v>19</v>
      </c>
      <c r="C46" s="1362" t="str">
        <f>IF(('6.Détails activités passés'!C14+'6.Détails activités passés'!C25)=0,"-", ((('6.Détails activités passés'!C14+'6.Détails activités passés'!C25)-('6.Détails activités passés'!C34+'6.Détails activités passés'!C40+'6.Détails activités passés'!C44))/('6.Détails activités passés'!C14+'6.Détails activités passés'!C25)))</f>
        <v>-</v>
      </c>
      <c r="D46" s="329" t="str">
        <f>IF(('6.Détails activités passés'!D14+'6.Détails activités passés'!D25)=0,"-", ((('6.Détails activités passés'!D14+'6.Détails activités passés'!D25)-('6.Détails activités passés'!D34+'6.Détails activités passés'!D40+'6.Détails activités passés'!D44))/('6.Détails activités passés'!D14+'6.Détails activités passés'!D25)))</f>
        <v>-</v>
      </c>
      <c r="E46" s="329" t="str">
        <f>IF(('6.Détails activités passés'!E14+'6.Détails activités passés'!E25)=0,"-", ((('6.Détails activités passés'!E14+'6.Détails activités passés'!E25)-('6.Détails activités passés'!E34+'6.Détails activités passés'!E40+'6.Détails activités passés'!E44))/('6.Détails activités passés'!E14+'6.Détails activités passés'!E25)))</f>
        <v>-</v>
      </c>
      <c r="F46" s="332" t="str">
        <f>IF(('8.Détails activités prév.'!E14+'8.Détails activités prév.'!E15)=0,"-", ((('8.Détails activités prév.'!E14+'8.Détails activités prév.'!E15)-('8.Détails activités prév.'!E24+'8.Détails activités prév.'!E30+'8.Détails activités prév.'!E34))/('8.Détails activités prév.'!E14+'8.Détails activités prév.'!E15)))</f>
        <v>-</v>
      </c>
      <c r="G46" s="332" t="str">
        <f>IF(('8.Détails activités prév.'!F14+'8.Détails activités prév.'!F15)=0,"-", ((('8.Détails activités prév.'!F14+'8.Détails activités prév.'!F15)-('8.Détails activités prév.'!F24+'8.Détails activités prév.'!F30+'8.Détails activités prév.'!F34))/('8.Détails activités prév.'!F14+'8.Détails activités prév.'!F15)))</f>
        <v>-</v>
      </c>
      <c r="H46" s="851" t="str">
        <f>IF(('8.Détails activités prév.'!G14+'8.Détails activités prév.'!G15)=0,"-", ((('8.Détails activités prév.'!G14+'8.Détails activités prév.'!G15)-('8.Détails activités prév.'!G24+'8.Détails activités prév.'!G30+'8.Détails activités prév.'!G34))/('8.Détails activités prév.'!G14+'8.Détails activités prév.'!G15)))</f>
        <v>-</v>
      </c>
      <c r="I46" s="259"/>
      <c r="J46" s="192"/>
      <c r="K46" s="192"/>
      <c r="L46" s="192"/>
      <c r="M46" s="192"/>
      <c r="N46" s="192"/>
      <c r="O46" s="192"/>
      <c r="P46" s="192"/>
      <c r="Q46" s="192"/>
      <c r="R46" s="192"/>
      <c r="S46" s="192"/>
      <c r="T46" s="192"/>
      <c r="U46" s="192"/>
      <c r="V46" s="192"/>
      <c r="W46" s="192"/>
      <c r="X46" s="192"/>
    </row>
    <row r="47" spans="1:24" ht="39.75" customHeight="1" thickBot="1" x14ac:dyDescent="0.3">
      <c r="A47" s="192"/>
      <c r="B47" s="325" t="s">
        <v>284</v>
      </c>
      <c r="C47" s="1363" t="str">
        <f>IF(('6.Détails activités passés'!C14+'6.Détails activités passés'!C25)=0, "-", (IF((('6.Détails activités passés'!C47-'6.Détails activités passés'!C34-'6.Détails activités passés'!C40-'6.Détails activités passés'!C44)/C46)&gt;0,(('6.Détails activités passés'!C47-'6.Détails activités passés'!C34-'6.Détails activités passés'!C40-'6.Détails activités passés'!C44)/C46),"modèle éco. non viable")))</f>
        <v>-</v>
      </c>
      <c r="D47" s="1170" t="str">
        <f>IF(('6.Détails activités passés'!D14+'6.Détails activités passés'!D25)=0, "-", (IF((('6.Détails activités passés'!D47-'6.Détails activités passés'!D34-'6.Détails activités passés'!D40-'6.Détails activités passés'!D44)/D46)&gt;0,(('6.Détails activités passés'!D47-'6.Détails activités passés'!D34-'6.Détails activités passés'!D40-'6.Détails activités passés'!D44)/D46),"modèle éco. non viable")))</f>
        <v>-</v>
      </c>
      <c r="E47" s="1170" t="str">
        <f>IF(('6.Détails activités passés'!E14+'6.Détails activités passés'!E25)=0, "-", (IF((('6.Détails activités passés'!E47-'6.Détails activités passés'!E34-'6.Détails activités passés'!E40-'6.Détails activités passés'!E44)/E46)&gt;0,(('6.Détails activités passés'!E47-'6.Détails activités passés'!E34-'6.Détails activités passés'!E40-'6.Détails activités passés'!E44)/E46),"modèle éco. non viable")))</f>
        <v>-</v>
      </c>
      <c r="F47" s="1033" t="str">
        <f>IF(('8.Détails activités prév.'!E14+'8.Détails activités prév.'!E15)=0, "-", (IF((('8.Détails activités prév.'!E37-'8.Détails activités prév.'!E24-'8.Détails activités prév.'!E30-'8.Détails activités prév.'!E34)/F46)&gt;0,(('8.Détails activités prév.'!E37-'8.Détails activités prév.'!E24-'8.Détails activités prév.'!E30-'8.Détails activités prév.'!E34)/F46),"modèle éco. non viable")))</f>
        <v>-</v>
      </c>
      <c r="G47" s="1033" t="str">
        <f>IF(('8.Détails activités prév.'!F14+'8.Détails activités prév.'!F15)=0, "-", (IF((('8.Détails activités prév.'!F37-'8.Détails activités prév.'!F24-'8.Détails activités prév.'!F30-'8.Détails activités prév.'!F34)/G46)&gt;0,(('8.Détails activités prév.'!F37-'8.Détails activités prév.'!F24-'8.Détails activités prév.'!F30-'8.Détails activités prév.'!F34)/G46),"modèle éco. non viable")))</f>
        <v>-</v>
      </c>
      <c r="H47" s="1032" t="str">
        <f>IF(('8.Détails activités prév.'!G14+'8.Détails activités prév.'!G15)=0, "-", (IF((('8.Détails activités prév.'!G37-'8.Détails activités prév.'!G24-'8.Détails activités prév.'!G30-'8.Détails activités prév.'!G34)/H46)&gt;0,(('8.Détails activités prév.'!G37-'8.Détails activités prév.'!G24-'8.Détails activités prév.'!G30-'8.Détails activités prév.'!G34)/H46),"modèle éco. non viable")))</f>
        <v>-</v>
      </c>
      <c r="I47" s="257"/>
      <c r="J47" s="192"/>
      <c r="K47" s="192"/>
      <c r="L47" s="192"/>
      <c r="M47" s="192"/>
      <c r="N47" s="192"/>
      <c r="O47" s="192"/>
      <c r="P47" s="192"/>
      <c r="Q47" s="192"/>
      <c r="R47" s="192"/>
      <c r="S47" s="192"/>
      <c r="T47" s="192"/>
      <c r="U47" s="192"/>
      <c r="V47" s="192"/>
      <c r="W47" s="192"/>
      <c r="X47" s="192"/>
    </row>
    <row r="48" spans="1:24" ht="30" customHeight="1" thickTop="1" x14ac:dyDescent="0.25">
      <c r="A48" s="192"/>
      <c r="B48" s="192"/>
      <c r="C48" s="251"/>
      <c r="D48" s="251"/>
      <c r="E48" s="251"/>
      <c r="F48" s="251"/>
      <c r="G48" s="251"/>
      <c r="H48" s="251"/>
      <c r="I48" s="251"/>
      <c r="J48" s="192"/>
      <c r="K48" s="192"/>
      <c r="L48" s="192"/>
      <c r="M48" s="192"/>
      <c r="N48" s="192"/>
      <c r="O48" s="192"/>
      <c r="P48" s="192"/>
      <c r="Q48" s="192"/>
      <c r="R48" s="192"/>
      <c r="S48" s="192"/>
      <c r="T48" s="192"/>
      <c r="U48" s="192"/>
      <c r="V48" s="192"/>
      <c r="W48" s="192"/>
      <c r="X48" s="192"/>
    </row>
    <row r="49" spans="1:24" ht="30" customHeight="1" x14ac:dyDescent="0.25">
      <c r="A49" s="192"/>
      <c r="B49" s="192"/>
      <c r="C49" s="251"/>
      <c r="D49" s="251"/>
      <c r="E49" s="251"/>
      <c r="F49" s="251"/>
      <c r="G49" s="251"/>
      <c r="H49" s="251"/>
      <c r="I49" s="251"/>
      <c r="J49" s="192"/>
      <c r="K49" s="192"/>
      <c r="L49" s="192"/>
      <c r="M49" s="192"/>
      <c r="N49" s="192"/>
      <c r="O49" s="192"/>
      <c r="P49" s="192"/>
      <c r="Q49" s="192"/>
      <c r="R49" s="192"/>
      <c r="S49" s="192"/>
      <c r="T49" s="192"/>
      <c r="U49" s="192"/>
      <c r="V49" s="192"/>
      <c r="W49" s="192"/>
      <c r="X49" s="192"/>
    </row>
    <row r="50" spans="1:24" ht="30" customHeight="1" x14ac:dyDescent="0.25">
      <c r="A50" s="192"/>
      <c r="B50" s="864"/>
      <c r="C50" s="251"/>
      <c r="D50" s="251"/>
      <c r="E50" s="251"/>
      <c r="F50" s="251"/>
      <c r="G50" s="251"/>
      <c r="H50" s="251"/>
      <c r="I50" s="251"/>
      <c r="J50" s="192"/>
      <c r="K50" s="192"/>
      <c r="L50" s="192"/>
      <c r="M50" s="192"/>
      <c r="N50" s="192"/>
      <c r="O50" s="192"/>
      <c r="P50" s="192"/>
      <c r="Q50" s="192"/>
      <c r="R50" s="192"/>
      <c r="S50" s="192"/>
      <c r="T50" s="192"/>
      <c r="U50" s="192"/>
      <c r="V50" s="192"/>
      <c r="W50" s="192"/>
      <c r="X50" s="192"/>
    </row>
    <row r="51" spans="1:24" ht="30" customHeight="1" x14ac:dyDescent="0.25">
      <c r="A51" s="192"/>
      <c r="B51" s="192"/>
      <c r="C51" s="251"/>
      <c r="D51" s="251"/>
      <c r="E51" s="251"/>
      <c r="F51" s="251"/>
      <c r="G51" s="251"/>
      <c r="H51" s="251"/>
      <c r="I51" s="251"/>
      <c r="J51" s="192"/>
      <c r="K51" s="192"/>
      <c r="L51" s="192"/>
      <c r="M51" s="192"/>
      <c r="N51" s="192"/>
      <c r="O51" s="192"/>
      <c r="P51" s="192"/>
      <c r="Q51" s="192"/>
      <c r="R51" s="192"/>
      <c r="S51" s="192"/>
      <c r="T51" s="192"/>
      <c r="U51" s="192"/>
      <c r="V51" s="192"/>
      <c r="W51" s="192"/>
      <c r="X51" s="192"/>
    </row>
    <row r="52" spans="1:24" ht="33.75" customHeight="1" x14ac:dyDescent="0.25">
      <c r="A52" s="192"/>
      <c r="B52" s="1391" t="str">
        <f>'Sources schémas'!B99</f>
        <v xml:space="preserve">Services d'aide à domicile 
Familles - Prestataire </v>
      </c>
      <c r="C52" s="322">
        <f>D52-1</f>
        <v>2014</v>
      </c>
      <c r="D52" s="322">
        <f>E52-1</f>
        <v>2015</v>
      </c>
      <c r="E52" s="848">
        <f>'A.1.Présentation structure'!C22</f>
        <v>2016</v>
      </c>
      <c r="F52" s="1162">
        <f>E52+1</f>
        <v>2017</v>
      </c>
      <c r="G52" s="1162">
        <f>F52+1</f>
        <v>2018</v>
      </c>
      <c r="H52" s="1163">
        <f>G52+1</f>
        <v>2019</v>
      </c>
      <c r="I52" s="256"/>
      <c r="J52" s="192"/>
      <c r="K52" s="192"/>
      <c r="L52" s="192"/>
      <c r="M52" s="192"/>
      <c r="N52" s="192"/>
      <c r="O52" s="192"/>
      <c r="P52" s="192"/>
      <c r="Q52" s="192"/>
      <c r="R52" s="192"/>
      <c r="S52" s="192"/>
      <c r="T52" s="192"/>
      <c r="U52" s="192"/>
      <c r="V52" s="192"/>
      <c r="W52" s="192"/>
      <c r="X52" s="192"/>
    </row>
    <row r="53" spans="1:24" ht="33.75" customHeight="1" x14ac:dyDescent="0.25">
      <c r="A53" s="192"/>
      <c r="B53" s="323" t="s">
        <v>260</v>
      </c>
      <c r="C53" s="1360">
        <f>'6.Détails activités passés'!F49</f>
        <v>0</v>
      </c>
      <c r="D53" s="330">
        <f>'6.Détails activités passés'!G49</f>
        <v>0</v>
      </c>
      <c r="E53" s="327">
        <f>'6.Détails activités passés'!H49</f>
        <v>0</v>
      </c>
      <c r="F53" s="330">
        <f>'8.Détails activités prév.'!I39</f>
        <v>0</v>
      </c>
      <c r="G53" s="330">
        <f>'8.Détails activités prév.'!J39</f>
        <v>0</v>
      </c>
      <c r="H53" s="849">
        <f>'8.Détails activités prév.'!K39</f>
        <v>0</v>
      </c>
      <c r="I53" s="257"/>
      <c r="J53" s="192"/>
      <c r="K53" s="192"/>
      <c r="L53" s="192"/>
      <c r="M53" s="192"/>
      <c r="N53" s="192"/>
      <c r="O53" s="192"/>
      <c r="P53" s="192"/>
      <c r="Q53" s="192"/>
      <c r="R53" s="192"/>
      <c r="S53" s="192"/>
      <c r="T53" s="192"/>
      <c r="U53" s="192"/>
      <c r="V53" s="192"/>
      <c r="W53" s="192"/>
      <c r="X53" s="192"/>
    </row>
    <row r="54" spans="1:24" ht="33.75" customHeight="1" x14ac:dyDescent="0.25">
      <c r="A54" s="192"/>
      <c r="B54" s="324" t="s">
        <v>0</v>
      </c>
      <c r="C54" s="1364" t="str">
        <f>IF('6.Détails activités passés'!F33=0, "-",'6.Détails activités passés'!F49/'6.Détails activités passés'!F33)</f>
        <v>-</v>
      </c>
      <c r="D54" s="331" t="str">
        <f>IF('6.Détails activités passés'!G33=0, "-",'6.Détails activités passés'!G49 /'6.Détails activités passés'!G33)</f>
        <v>-</v>
      </c>
      <c r="E54" s="328" t="str">
        <f>IF('6.Détails activités passés'!H33=0, "-",'6.Détails activités passés'!H49 /'6.Détails activités passés'!H33)</f>
        <v>-</v>
      </c>
      <c r="F54" s="331" t="str">
        <f>IF('8.Détails activités prév.'!I23=0, "-", '8.Détails activités prév.'!I39/'8.Détails activités prév.'!I23)</f>
        <v>-</v>
      </c>
      <c r="G54" s="331" t="str">
        <f>IF('8.Détails activités prév.'!J23=0, "-", '8.Détails activités prév.'!J39/'8.Détails activités prév.'!J23)</f>
        <v>-</v>
      </c>
      <c r="H54" s="850" t="str">
        <f>IF('8.Détails activités prév.'!K23=0, "-", '8.Détails activités prév.'!K39/'8.Détails activités prév.'!K23)</f>
        <v>-</v>
      </c>
      <c r="I54" s="258"/>
      <c r="J54" s="192"/>
      <c r="K54" s="192"/>
      <c r="L54" s="192"/>
      <c r="M54" s="192"/>
      <c r="N54" s="192"/>
      <c r="O54" s="192"/>
      <c r="P54" s="192"/>
      <c r="Q54" s="192"/>
      <c r="R54" s="192"/>
      <c r="S54" s="192"/>
      <c r="T54" s="192"/>
      <c r="U54" s="192"/>
      <c r="V54" s="192"/>
      <c r="W54" s="192"/>
      <c r="X54" s="192"/>
    </row>
    <row r="55" spans="1:24" ht="33.75" customHeight="1" x14ac:dyDescent="0.25">
      <c r="A55" s="192"/>
      <c r="B55" s="324" t="s">
        <v>19</v>
      </c>
      <c r="C55" s="1362" t="str">
        <f>IF(('6.Détails activités passés'!F14+'6.Détails activités passés'!F25)=0,"-", ((('6.Détails activités passés'!F14+'6.Détails activités passés'!F25)-('6.Détails activités passés'!F34+'6.Détails activités passés'!F40+'6.Détails activités passés'!F44))/('6.Détails activités passés'!F14+'6.Détails activités passés'!F25)))</f>
        <v>-</v>
      </c>
      <c r="D55" s="332" t="str">
        <f>IF(('6.Détails activités passés'!G14+'6.Détails activités passés'!G25)=0,"-", ((('6.Détails activités passés'!G14+'6.Détails activités passés'!G25)-('6.Détails activités passés'!G34+'6.Détails activités passés'!G40+'6.Détails activités passés'!G44))/('6.Détails activités passés'!G14+'6.Détails activités passés'!G25)))</f>
        <v>-</v>
      </c>
      <c r="E55" s="329" t="str">
        <f>IF(('6.Détails activités passés'!H14+'6.Détails activités passés'!H25)=0,"-", ((('6.Détails activités passés'!H14+'6.Détails activités passés'!H25)-('6.Détails activités passés'!H34+'6.Détails activités passés'!H40+'6.Détails activités passés'!H44))/('6.Détails activités passés'!H14+'6.Détails activités passés'!H25)))</f>
        <v>-</v>
      </c>
      <c r="F55" s="332" t="str">
        <f>IF(('8.Détails activités prév.'!I14+'8.Détails activités prév.'!I15)=0,"-", ((('8.Détails activités prév.'!I14+'8.Détails activités prév.'!I15)-('8.Détails activités prév.'!I24+'8.Détails activités prév.'!I30+'8.Détails activités prév.'!I34))/('8.Détails activités prév.'!I14+'8.Détails activités prév.'!I15)))</f>
        <v>-</v>
      </c>
      <c r="G55" s="332" t="str">
        <f>IF(('8.Détails activités prév.'!J14+'8.Détails activités prév.'!J15)=0,"-", ((('8.Détails activités prév.'!J14+'8.Détails activités prév.'!J15)-('8.Détails activités prév.'!J24+'8.Détails activités prév.'!J30-'8.Détails activités prév.'!J34))/('8.Détails activités prév.'!J14+'8.Détails activités prév.'!J15)))</f>
        <v>-</v>
      </c>
      <c r="H55" s="851" t="str">
        <f>IF(('8.Détails activités prév.'!K14+'8.Détails activités prév.'!K15)=0,"-", ((('8.Détails activités prév.'!K14+'8.Détails activités prév.'!K15)-('8.Détails activités prév.'!K24+'8.Détails activités prév.'!K30-'8.Détails activités prév.'!K34))/('8.Détails activités prév.'!K14+'8.Détails activités prév.'!K15)))</f>
        <v>-</v>
      </c>
      <c r="I55" s="259"/>
      <c r="J55" s="192"/>
      <c r="K55" s="192"/>
      <c r="L55" s="192"/>
      <c r="M55" s="192"/>
      <c r="N55" s="192"/>
      <c r="O55" s="192"/>
      <c r="P55" s="192"/>
      <c r="Q55" s="192"/>
      <c r="R55" s="192"/>
      <c r="S55" s="192"/>
      <c r="T55" s="192"/>
      <c r="U55" s="192"/>
      <c r="V55" s="192"/>
      <c r="W55" s="192"/>
      <c r="X55" s="192"/>
    </row>
    <row r="56" spans="1:24" ht="39.75" customHeight="1" thickBot="1" x14ac:dyDescent="0.3">
      <c r="A56" s="192"/>
      <c r="B56" s="325" t="s">
        <v>284</v>
      </c>
      <c r="C56" s="1365" t="str">
        <f>IF(('6.Détails activités passés'!F14+'6.Détails activités passés'!F25)=0, "-", (IF((('6.Détails activités passés'!F47-'6.Détails activités passés'!F34-'6.Détails activités passés'!F40-'6.Détails activités passés'!F44)/C55)&gt;0,(('6.Détails activités passés'!F47-'6.Détails activités passés'!F34-'6.Détails activités passés'!F40-'6.Détails activités passés'!F44)/C55),"modèle éco. non viable")))</f>
        <v>-</v>
      </c>
      <c r="D56" s="333" t="str">
        <f>IF(('6.Détails activités passés'!G14+'6.Détails activités passés'!G25)=0, "-", (IF((('6.Détails activités passés'!G47-'6.Détails activités passés'!G34-'6.Détails activités passés'!G40-'6.Détails activités passés'!G44)/D55)&gt;0,(('6.Détails activités passés'!G47-'6.Détails activités passés'!G34-'6.Détails activités passés'!G40-'6.Détails activités passés'!G44)/D55),"modèle éco. non viable")))</f>
        <v>-</v>
      </c>
      <c r="E56" s="1171" t="str">
        <f>IF(('6.Détails activités passés'!H14+'6.Détails activités passés'!H25)=0, "-", (IF((('6.Détails activités passés'!H47-'6.Détails activités passés'!H34-'6.Détails activités passés'!H40-'6.Détails activités passés'!H44)/E55)&gt;0,(('6.Détails activités passés'!H47-'6.Détails activités passés'!H34-'6.Détails activités passés'!H40-'6.Détails activités passés'!H44)/E55),"modèle éco. non viable")))</f>
        <v>-</v>
      </c>
      <c r="F56" s="333" t="str">
        <f>IF(('8.Détails activités prév.'!I14+'8.Détails activités prév.'!I15)=0, "-", (IF((('8.Détails activités prév.'!I37-'8.Détails activités prév.'!I24-'8.Détails activités prév.'!I30-'8.Détails activités prév.'!I34)/F55)&gt;0,(('8.Détails activités prév.'!I37-'8.Détails activités prév.'!I24-'8.Détails activités prév.'!I30-'8.Détails activités prév.'!I34)/F55),"modèle éco. non viable")))</f>
        <v>-</v>
      </c>
      <c r="G56" s="333" t="str">
        <f>IF(('8.Détails activités prév.'!J14+'8.Détails activités prév.'!J15)=0, "-", (IF((('8.Détails activités prév.'!J37-'8.Détails activités prév.'!J24-'8.Détails activités prév.'!J30-'8.Détails activités prév.'!J34)/G55)&gt;0,(('8.Détails activités prév.'!J37-'8.Détails activités prév.'!J24-'8.Détails activités prév.'!J30-'8.Détails activités prév.'!J34)/G55),"modèle éco. non viable")))</f>
        <v>-</v>
      </c>
      <c r="H56" s="852" t="str">
        <f>IF(('8.Détails activités prév.'!K14+'8.Détails activités prév.'!K15)=0, "-", (IF((('8.Détails activités prév.'!K37-'8.Détails activités prév.'!K24-'8.Détails activités prév.'!K30-'8.Détails activités prév.'!K34)/H55)&gt;0,(('8.Détails activités prév.'!K37-'8.Détails activités prév.'!K24-'8.Détails activités prév.'!K30-'8.Détails activités prév.'!K34)/H55),"modèle éco. non viable")))</f>
        <v>-</v>
      </c>
      <c r="I56" s="257"/>
      <c r="J56" s="192"/>
      <c r="K56" s="192"/>
      <c r="L56" s="192"/>
      <c r="M56" s="192"/>
      <c r="N56" s="192"/>
      <c r="O56" s="192"/>
      <c r="P56" s="192"/>
      <c r="Q56" s="192"/>
      <c r="R56" s="192"/>
      <c r="S56" s="192"/>
      <c r="T56" s="192"/>
      <c r="U56" s="192"/>
      <c r="V56" s="192"/>
      <c r="W56" s="192"/>
      <c r="X56" s="192"/>
    </row>
    <row r="57" spans="1:24" ht="30" customHeight="1" thickTop="1" x14ac:dyDescent="0.25">
      <c r="A57" s="192"/>
      <c r="B57" s="192"/>
      <c r="C57" s="251"/>
      <c r="D57" s="251"/>
      <c r="E57" s="251"/>
      <c r="F57" s="251"/>
      <c r="G57" s="251"/>
      <c r="H57" s="251"/>
      <c r="I57" s="251"/>
      <c r="J57" s="192"/>
      <c r="K57" s="192"/>
      <c r="L57" s="192"/>
      <c r="M57" s="192"/>
      <c r="N57" s="192"/>
      <c r="O57" s="192"/>
      <c r="P57" s="192"/>
      <c r="Q57" s="192"/>
      <c r="R57" s="192"/>
      <c r="S57" s="192"/>
      <c r="T57" s="192"/>
      <c r="U57" s="192"/>
      <c r="V57" s="192"/>
      <c r="W57" s="192"/>
      <c r="X57" s="192"/>
    </row>
    <row r="58" spans="1:24" ht="30" customHeight="1" x14ac:dyDescent="0.25">
      <c r="A58" s="192"/>
      <c r="B58" s="192"/>
      <c r="C58" s="251"/>
      <c r="D58" s="251"/>
      <c r="E58" s="251"/>
      <c r="F58" s="251"/>
      <c r="G58" s="251"/>
      <c r="H58" s="251"/>
      <c r="I58" s="251"/>
      <c r="J58" s="192"/>
      <c r="K58" s="192"/>
      <c r="L58" s="192"/>
      <c r="M58" s="192"/>
      <c r="N58" s="192"/>
      <c r="O58" s="192"/>
      <c r="P58" s="192"/>
      <c r="Q58" s="192"/>
      <c r="R58" s="192"/>
      <c r="S58" s="192"/>
      <c r="T58" s="192"/>
      <c r="U58" s="192"/>
      <c r="V58" s="192"/>
      <c r="W58" s="192"/>
      <c r="X58" s="192"/>
    </row>
    <row r="59" spans="1:24" ht="30" customHeight="1" x14ac:dyDescent="0.25">
      <c r="A59" s="192"/>
      <c r="B59" s="192"/>
      <c r="C59" s="251"/>
      <c r="D59" s="251"/>
      <c r="E59" s="251"/>
      <c r="F59" s="251"/>
      <c r="G59" s="251"/>
      <c r="H59" s="251"/>
      <c r="I59" s="251"/>
      <c r="J59" s="192"/>
      <c r="K59" s="192"/>
      <c r="L59" s="192"/>
      <c r="M59" s="192"/>
      <c r="N59" s="192"/>
      <c r="O59" s="192"/>
      <c r="P59" s="192"/>
      <c r="Q59" s="192"/>
      <c r="R59" s="192"/>
      <c r="S59" s="192"/>
      <c r="T59" s="192"/>
      <c r="U59" s="192"/>
      <c r="V59" s="192"/>
      <c r="W59" s="192"/>
      <c r="X59" s="192"/>
    </row>
    <row r="60" spans="1:24" ht="30" customHeight="1" x14ac:dyDescent="0.25">
      <c r="A60" s="192"/>
      <c r="B60" s="192"/>
      <c r="C60" s="251"/>
      <c r="D60" s="251"/>
      <c r="E60" s="251"/>
      <c r="F60" s="251"/>
      <c r="G60" s="251"/>
      <c r="H60" s="251"/>
      <c r="I60" s="251"/>
      <c r="J60" s="192"/>
      <c r="K60" s="192"/>
      <c r="L60" s="192"/>
      <c r="M60" s="192"/>
      <c r="N60" s="192"/>
      <c r="O60" s="192"/>
      <c r="P60" s="192"/>
      <c r="Q60" s="192"/>
      <c r="R60" s="192"/>
      <c r="S60" s="192"/>
      <c r="T60" s="192"/>
      <c r="U60" s="192"/>
      <c r="V60" s="192"/>
      <c r="W60" s="192"/>
      <c r="X60" s="192"/>
    </row>
    <row r="61" spans="1:24" ht="30" customHeight="1" x14ac:dyDescent="0.25">
      <c r="A61" s="192"/>
      <c r="B61" s="192"/>
      <c r="C61" s="192"/>
      <c r="D61" s="192"/>
      <c r="E61" s="192"/>
      <c r="F61" s="192"/>
      <c r="G61" s="192"/>
      <c r="H61" s="192"/>
      <c r="I61" s="192"/>
      <c r="J61" s="192"/>
      <c r="K61" s="192"/>
      <c r="L61" s="192"/>
      <c r="M61" s="192"/>
      <c r="N61" s="192"/>
      <c r="O61" s="192"/>
      <c r="P61" s="192"/>
      <c r="Q61" s="192"/>
      <c r="R61" s="192"/>
      <c r="S61" s="192"/>
      <c r="T61" s="192"/>
      <c r="U61" s="192"/>
      <c r="V61" s="192"/>
      <c r="W61" s="192"/>
      <c r="X61" s="192"/>
    </row>
    <row r="62" spans="1:24" ht="33.75" customHeight="1" x14ac:dyDescent="0.25">
      <c r="A62" s="192"/>
      <c r="B62" s="1481" t="str">
        <f>'Sources schémas'!B113</f>
        <v>Services d'aide à domicile - Mandataire</v>
      </c>
      <c r="C62" s="322">
        <f>D62-1</f>
        <v>2014</v>
      </c>
      <c r="D62" s="326">
        <f>E62-1</f>
        <v>2015</v>
      </c>
      <c r="E62" s="326">
        <f>'A.1.Présentation structure'!C22</f>
        <v>2016</v>
      </c>
      <c r="F62" s="1166">
        <f>E62+1</f>
        <v>2017</v>
      </c>
      <c r="G62" s="1166">
        <f>F62+1</f>
        <v>2018</v>
      </c>
      <c r="H62" s="1167">
        <f>G62+1</f>
        <v>2019</v>
      </c>
      <c r="I62" s="256"/>
      <c r="J62" s="192"/>
      <c r="K62" s="192"/>
      <c r="L62" s="192"/>
      <c r="M62" s="192"/>
      <c r="N62" s="192"/>
      <c r="O62" s="192"/>
      <c r="P62" s="192"/>
      <c r="Q62" s="192"/>
      <c r="R62" s="192"/>
      <c r="S62" s="192"/>
      <c r="T62" s="192"/>
      <c r="U62" s="192"/>
      <c r="V62" s="192"/>
      <c r="W62" s="192"/>
      <c r="X62" s="192"/>
    </row>
    <row r="63" spans="1:24" ht="33.75" customHeight="1" x14ac:dyDescent="0.25">
      <c r="A63" s="192"/>
      <c r="B63" s="323" t="s">
        <v>260</v>
      </c>
      <c r="C63" s="1366">
        <f>'6.Détails activités passés'!I49</f>
        <v>0</v>
      </c>
      <c r="D63" s="1368">
        <f>'6.Détails activités passés'!J49</f>
        <v>0</v>
      </c>
      <c r="E63" s="1172">
        <f>'6.Détails activités passés'!K49</f>
        <v>0</v>
      </c>
      <c r="F63" s="327">
        <f>'8.Détails activités prév.'!M39</f>
        <v>0</v>
      </c>
      <c r="G63" s="327">
        <f>'8.Détails activités prév.'!N39</f>
        <v>0</v>
      </c>
      <c r="H63" s="849">
        <f>'8.Détails activités prév.'!O39</f>
        <v>0</v>
      </c>
      <c r="I63" s="257"/>
      <c r="J63" s="192"/>
      <c r="K63" s="192"/>
      <c r="L63" s="192"/>
      <c r="M63" s="192"/>
      <c r="N63" s="192"/>
      <c r="O63" s="192"/>
      <c r="P63" s="192"/>
      <c r="Q63" s="192"/>
      <c r="R63" s="192"/>
      <c r="S63" s="192"/>
      <c r="T63" s="192"/>
      <c r="U63" s="192"/>
      <c r="V63" s="192"/>
      <c r="W63" s="192"/>
      <c r="X63" s="192"/>
    </row>
    <row r="64" spans="1:24" ht="33.75" customHeight="1" x14ac:dyDescent="0.25">
      <c r="A64" s="192"/>
      <c r="B64" s="324" t="s">
        <v>0</v>
      </c>
      <c r="C64" s="1364" t="str">
        <f>IF('6.Détails activités passés'!I33=0, "-",'6.Détails activités passés'!I49 /'6.Détails activités passés'!I33)</f>
        <v>-</v>
      </c>
      <c r="D64" s="331" t="str">
        <f>IF('6.Détails activités passés'!J33=0, "-",'6.Détails activités passés'!J49 /'6.Détails activités passés'!J33)</f>
        <v>-</v>
      </c>
      <c r="E64" s="331" t="str">
        <f>IF('6.Détails activités passés'!K33=0, "-",'6.Détails activités passés'!K49 /'6.Détails activités passés'!K33)</f>
        <v>-</v>
      </c>
      <c r="F64" s="328" t="str">
        <f>IF('8.Détails activités prév.'!M23=0, "-", '8.Détails activités prév.'!M39/'8.Détails activités prév.'!M23)</f>
        <v>-</v>
      </c>
      <c r="G64" s="328" t="str">
        <f>IF('8.Détails activités prév.'!N23=0, "-", '8.Détails activités prév.'!N39/'8.Détails activités prév.'!N23)</f>
        <v>-</v>
      </c>
      <c r="H64" s="850" t="str">
        <f>IF('8.Détails activités prév.'!O23=0, "-", '8.Détails activités prév.'!O39/'8.Détails activités prév.'!O23)</f>
        <v>-</v>
      </c>
      <c r="I64" s="258"/>
      <c r="J64" s="192"/>
      <c r="K64" s="192"/>
      <c r="L64" s="192"/>
      <c r="M64" s="192"/>
      <c r="N64" s="192"/>
      <c r="O64" s="192"/>
      <c r="P64" s="192"/>
      <c r="Q64" s="192"/>
      <c r="R64" s="192"/>
      <c r="S64" s="192"/>
      <c r="T64" s="192"/>
      <c r="U64" s="192"/>
      <c r="V64" s="192"/>
      <c r="W64" s="192"/>
      <c r="X64" s="192"/>
    </row>
    <row r="65" spans="1:24" ht="33.75" customHeight="1" x14ac:dyDescent="0.25">
      <c r="A65" s="192"/>
      <c r="B65" s="324" t="s">
        <v>19</v>
      </c>
      <c r="C65" s="1367" t="str">
        <f>IF(('6.Détails activités passés'!I14+'6.Détails activités passés'!I25)=0,"-", ((('6.Détails activités passés'!I14+'6.Détails activités passés'!I25)-('6.Détails activités passés'!I34+'6.Détails activités passés'!I40+'6.Détails activités passés'!I44))/('6.Détails activités passés'!I14+'6.Détails activités passés'!I25)))</f>
        <v>-</v>
      </c>
      <c r="D65" s="1369" t="str">
        <f>IF(('6.Détails activités passés'!J14+'6.Détails activités passés'!J25)=0,"-", ((('6.Détails activités passés'!J14+'6.Détails activités passés'!J25)-('6.Détails activités passés'!J34+'6.Détails activités passés'!J40+'6.Détails activités passés'!J44))/('6.Détails activités passés'!J14+'6.Détails activités passés'!J25)))</f>
        <v>-</v>
      </c>
      <c r="E65" s="1369" t="str">
        <f>IF(('6.Détails activités passés'!K14+'6.Détails activités passés'!K25)=0,"-", ((('6.Détails activités passés'!K14+'6.Détails activités passés'!K25)-('6.Détails activités passés'!K34+'6.Détails activités passés'!K40+'6.Détails activités passés'!K44))/('6.Détails activités passés'!K14+'6.Détails activités passés'!K25)))</f>
        <v>-</v>
      </c>
      <c r="F65" s="329" t="str">
        <f>IF(('8.Détails activités prév.'!M14+'8.Détails activités prév.'!M15)=0,"-", ((('8.Détails activités prév.'!M14+'8.Détails activités prév.'!M15)-('8.Détails activités prév.'!M24+'8.Détails activités prév.'!M30+'8.Détails activités prév.'!M34))/('8.Détails activités prév.'!M14+'8.Détails activités prév.'!M15)))</f>
        <v>-</v>
      </c>
      <c r="G65" s="329" t="str">
        <f>IF(('8.Détails activités prév.'!N14+'8.Détails activités prév.'!N15)=0,"-", ((('8.Détails activités prév.'!N14+'8.Détails activités prév.'!N15)-('8.Détails activités prév.'!N24+'8.Détails activités prév.'!N30+'8.Détails activités prév.'!N34))/('8.Détails activités prév.'!N14+'8.Détails activités prév.'!N15)))</f>
        <v>-</v>
      </c>
      <c r="H65" s="851" t="str">
        <f>IF(('8.Détails activités prév.'!O14+'8.Détails activités prév.'!O15)=0,"-", ((('8.Détails activités prév.'!O14+'8.Détails activités prév.'!O15)-('8.Détails activités prév.'!O24+'8.Détails activités prév.'!O30+'8.Détails activités prév.'!O34))/('8.Détails activités prév.'!O14+'8.Détails activités prév.'!O15)))</f>
        <v>-</v>
      </c>
      <c r="I65" s="259"/>
      <c r="J65" s="192"/>
      <c r="K65" s="192"/>
      <c r="L65" s="192"/>
      <c r="M65" s="192"/>
      <c r="N65" s="192"/>
      <c r="O65" s="192"/>
      <c r="P65" s="192"/>
      <c r="Q65" s="192"/>
      <c r="R65" s="192"/>
      <c r="S65" s="192"/>
      <c r="T65" s="192"/>
      <c r="U65" s="192"/>
      <c r="V65" s="192"/>
      <c r="W65" s="192"/>
      <c r="X65" s="192"/>
    </row>
    <row r="66" spans="1:24" ht="39.75" customHeight="1" thickBot="1" x14ac:dyDescent="0.3">
      <c r="A66" s="192"/>
      <c r="B66" s="325" t="s">
        <v>284</v>
      </c>
      <c r="C66" s="1365" t="str">
        <f>IF(('6.Détails activités passés'!F14+'6.Détails activités passés'!F25)=0, "-", (IF((('6.Détails activités passés'!F47-'6.Détails activités passés'!F34-'6.Détails activités passés'!F40-'6.Détails activités passés'!F44)/C65)&gt;0,(('6.Détails activités passés'!F47-'6.Détails activités passés'!F34-'6.Détails activités passés'!F40-'6.Détails activités passés'!F44)/C65),"modèle éco. non viable")))</f>
        <v>-</v>
      </c>
      <c r="D66" s="333" t="str">
        <f>IF(('6.Détails activités passés'!G14+'6.Détails activités passés'!G25)=0, "-", (IF((('6.Détails activités passés'!G47-'6.Détails activités passés'!G34-'6.Détails activités passés'!G40-'6.Détails activités passés'!G44)/D65)&gt;0,(('6.Détails activités passés'!G47-'6.Détails activités passés'!G34-'6.Détails activités passés'!G40-'6.Détails activités passés'!G44)/D65),"modèle éco. non viable")))</f>
        <v>-</v>
      </c>
      <c r="E66" s="333" t="str">
        <f>IF(('6.Détails activités passés'!H14+'6.Détails activités passés'!H25)=0, "-", (IF((('6.Détails activités passés'!H47-'6.Détails activités passés'!H34-'6.Détails activités passés'!H40-'6.Détails activités passés'!H44)/E65)&gt;0,(('6.Détails activités passés'!H47-'6.Détails activités passés'!H34-'6.Détails activités passés'!H40-'6.Détails activités passés'!H44)/E65),"modèle éco. non viable")))</f>
        <v>-</v>
      </c>
      <c r="F66" s="1031" t="str">
        <f>IF(('8.Détails activités prév.'!M14+'8.Détails activités prév.'!M15)=0, "-", (IF((('8.Détails activités prév.'!M37-'8.Détails activités prév.'!M24-'8.Détails activités prév.'!M30-'8.Détails activités prév.'!M34)/F65)&gt;0,(('8.Détails activités prév.'!M37-'8.Détails activités prév.'!M24-'8.Détails activités prév.'!M30-'8.Détails activités prév.'!M34)/F65),"modèle éco. non viable")))</f>
        <v>-</v>
      </c>
      <c r="G66" s="1031" t="str">
        <f>IF(('8.Détails activités prév.'!N14+'8.Détails activités prév.'!N15)=0, "-", (IF((('8.Détails activités prév.'!N37-'8.Détails activités prév.'!N24-'8.Détails activités prév.'!N30-'8.Détails activités prév.'!N34)/G65)&gt;0,(('8.Détails activités prév.'!N37-'8.Détails activités prév.'!N24-'8.Détails activités prév.'!N30-'8.Détails activités prév.'!N34)/G65),"modèle éco. non viable")))</f>
        <v>-</v>
      </c>
      <c r="H66" s="1034" t="str">
        <f>IF(('8.Détails activités prév.'!O14+'8.Détails activités prév.'!O15)=0, "-", (IF((('8.Détails activités prév.'!O37-'8.Détails activités prév.'!O24-'8.Détails activités prév.'!O30-'8.Détails activités prév.'!O34)/H65)&gt;0,(('8.Détails activités prév.'!O37-'8.Détails activités prév.'!O24-'8.Détails activités prév.'!O30-'8.Détails activités prév.'!O34)/H65),"modèle éco. non viable")))</f>
        <v>-</v>
      </c>
      <c r="I66" s="257"/>
      <c r="J66" s="192"/>
      <c r="K66" s="192"/>
      <c r="L66" s="192"/>
      <c r="M66" s="192"/>
      <c r="N66" s="192"/>
      <c r="O66" s="192"/>
      <c r="P66" s="192"/>
      <c r="Q66" s="192"/>
      <c r="R66" s="192"/>
      <c r="S66" s="192"/>
      <c r="T66" s="192"/>
      <c r="U66" s="192"/>
      <c r="V66" s="192"/>
      <c r="W66" s="192"/>
      <c r="X66" s="192"/>
    </row>
    <row r="67" spans="1:24" ht="30" customHeight="1" thickTop="1" x14ac:dyDescent="0.25">
      <c r="A67" s="192"/>
      <c r="B67" s="192"/>
      <c r="C67" s="192"/>
      <c r="D67" s="192"/>
      <c r="E67" s="192"/>
      <c r="F67" s="192"/>
      <c r="G67" s="192"/>
      <c r="H67" s="192"/>
      <c r="I67" s="192"/>
      <c r="J67" s="192"/>
      <c r="K67" s="192"/>
      <c r="L67" s="192"/>
      <c r="M67" s="192"/>
      <c r="N67" s="192"/>
      <c r="O67" s="192"/>
      <c r="P67" s="192"/>
      <c r="Q67" s="192"/>
      <c r="R67" s="192"/>
      <c r="S67" s="192"/>
      <c r="T67" s="192"/>
      <c r="U67" s="192"/>
      <c r="V67" s="192"/>
      <c r="W67" s="192"/>
      <c r="X67" s="192"/>
    </row>
    <row r="68" spans="1:24" ht="30" customHeight="1" x14ac:dyDescent="0.25">
      <c r="A68" s="192"/>
      <c r="B68" s="192"/>
      <c r="C68" s="192"/>
      <c r="D68" s="192"/>
      <c r="E68" s="192"/>
      <c r="F68" s="192"/>
      <c r="G68" s="192"/>
      <c r="H68" s="192"/>
      <c r="I68" s="192"/>
      <c r="J68" s="192"/>
      <c r="K68" s="192"/>
      <c r="L68" s="192"/>
      <c r="M68" s="192"/>
      <c r="N68" s="192"/>
      <c r="O68" s="192"/>
      <c r="P68" s="192"/>
      <c r="Q68" s="192"/>
      <c r="R68" s="192"/>
      <c r="S68" s="192"/>
      <c r="T68" s="192"/>
      <c r="U68" s="192"/>
      <c r="V68" s="192"/>
      <c r="W68" s="192"/>
      <c r="X68" s="192"/>
    </row>
    <row r="69" spans="1:24" ht="30" customHeight="1" x14ac:dyDescent="0.25">
      <c r="A69" s="192"/>
      <c r="B69" s="192"/>
      <c r="C69" s="192"/>
      <c r="D69" s="192"/>
      <c r="E69" s="192"/>
      <c r="F69" s="192"/>
      <c r="G69" s="192"/>
      <c r="H69" s="192"/>
      <c r="I69" s="192"/>
      <c r="J69" s="192"/>
      <c r="K69" s="192"/>
      <c r="L69" s="192"/>
      <c r="M69" s="192"/>
      <c r="N69" s="192"/>
      <c r="O69" s="192"/>
      <c r="P69" s="192"/>
      <c r="Q69" s="192"/>
      <c r="R69" s="192"/>
      <c r="S69" s="192"/>
      <c r="T69" s="192"/>
      <c r="U69" s="192"/>
      <c r="V69" s="192"/>
      <c r="W69" s="192"/>
      <c r="X69" s="192"/>
    </row>
    <row r="70" spans="1:24" ht="30" customHeight="1" x14ac:dyDescent="0.25">
      <c r="A70" s="192"/>
      <c r="B70" s="192"/>
      <c r="C70" s="192"/>
      <c r="D70" s="192"/>
      <c r="E70" s="192"/>
      <c r="F70" s="192"/>
      <c r="G70" s="192"/>
      <c r="H70" s="192"/>
      <c r="I70" s="192"/>
      <c r="J70" s="192"/>
      <c r="K70" s="192"/>
      <c r="L70" s="192"/>
      <c r="M70" s="192"/>
      <c r="N70" s="192"/>
      <c r="O70" s="192"/>
      <c r="P70" s="192"/>
      <c r="Q70" s="192"/>
      <c r="R70" s="192"/>
      <c r="S70" s="192"/>
      <c r="T70" s="192"/>
      <c r="U70" s="192"/>
      <c r="V70" s="192"/>
      <c r="W70" s="192"/>
      <c r="X70" s="192"/>
    </row>
    <row r="71" spans="1:24" ht="30" customHeight="1" x14ac:dyDescent="0.25">
      <c r="A71" s="192"/>
      <c r="B71" s="192"/>
      <c r="C71" s="192"/>
      <c r="D71" s="192"/>
      <c r="E71" s="192"/>
      <c r="F71" s="192"/>
      <c r="G71" s="192"/>
      <c r="H71" s="192"/>
      <c r="I71" s="192"/>
      <c r="J71" s="192"/>
      <c r="K71" s="192"/>
      <c r="L71" s="192"/>
      <c r="M71" s="192"/>
      <c r="N71" s="192"/>
      <c r="O71" s="192"/>
      <c r="P71" s="192"/>
      <c r="Q71" s="192"/>
      <c r="R71" s="192"/>
      <c r="S71" s="192"/>
      <c r="T71" s="192"/>
      <c r="U71" s="192"/>
      <c r="V71" s="192"/>
      <c r="W71" s="192"/>
      <c r="X71" s="192"/>
    </row>
    <row r="72" spans="1:24" ht="30" customHeight="1" x14ac:dyDescent="0.25">
      <c r="A72" s="192"/>
      <c r="B72" s="192"/>
      <c r="C72" s="192"/>
      <c r="D72" s="192"/>
      <c r="E72" s="192"/>
      <c r="F72" s="192"/>
      <c r="G72" s="192"/>
      <c r="H72" s="192"/>
      <c r="I72" s="192"/>
      <c r="J72" s="192"/>
      <c r="K72" s="192"/>
      <c r="L72" s="192"/>
      <c r="M72" s="192"/>
      <c r="N72" s="192"/>
      <c r="O72" s="192"/>
      <c r="P72" s="192"/>
      <c r="Q72" s="192"/>
      <c r="R72" s="192"/>
      <c r="S72" s="192"/>
      <c r="T72" s="192"/>
      <c r="U72" s="192"/>
      <c r="V72" s="192"/>
      <c r="W72" s="192"/>
      <c r="X72" s="192"/>
    </row>
    <row r="73" spans="1:24" ht="30" customHeight="1" x14ac:dyDescent="0.25">
      <c r="A73" s="192"/>
      <c r="B73" s="192"/>
      <c r="C73" s="192"/>
      <c r="D73" s="192"/>
      <c r="E73" s="192"/>
      <c r="F73" s="192"/>
      <c r="G73" s="192"/>
      <c r="H73" s="192"/>
      <c r="I73" s="192"/>
      <c r="J73" s="192"/>
      <c r="K73" s="192"/>
      <c r="L73" s="192"/>
      <c r="M73" s="192"/>
      <c r="N73" s="192"/>
      <c r="O73" s="192"/>
      <c r="P73" s="192"/>
      <c r="Q73" s="192"/>
      <c r="R73" s="192"/>
      <c r="S73" s="192"/>
      <c r="T73" s="192"/>
      <c r="U73" s="192"/>
      <c r="V73" s="192"/>
      <c r="W73" s="192"/>
      <c r="X73" s="192"/>
    </row>
    <row r="74" spans="1:24" ht="33.75" customHeight="1" x14ac:dyDescent="0.25">
      <c r="A74" s="192"/>
      <c r="B74" s="1482" t="str">
        <f>'Sources schémas'!B127</f>
        <v>Services à la personne -
Prestations de confort</v>
      </c>
      <c r="C74" s="322">
        <f>D74-1</f>
        <v>2014</v>
      </c>
      <c r="D74" s="322">
        <f>E74-1</f>
        <v>2015</v>
      </c>
      <c r="E74" s="848">
        <f>'A.1.Présentation structure'!C22</f>
        <v>2016</v>
      </c>
      <c r="F74" s="1166">
        <f>E74+1</f>
        <v>2017</v>
      </c>
      <c r="G74" s="1166">
        <f>F74+1</f>
        <v>2018</v>
      </c>
      <c r="H74" s="1167">
        <f>G74+1</f>
        <v>2019</v>
      </c>
      <c r="I74" s="256"/>
      <c r="J74" s="192"/>
      <c r="K74" s="192"/>
      <c r="L74" s="192"/>
      <c r="M74" s="192"/>
      <c r="N74" s="192"/>
      <c r="O74" s="192"/>
      <c r="P74" s="192"/>
      <c r="Q74" s="192"/>
      <c r="R74" s="192"/>
      <c r="S74" s="192"/>
      <c r="T74" s="192"/>
      <c r="U74" s="192"/>
      <c r="V74" s="192"/>
      <c r="W74" s="192"/>
      <c r="X74" s="192"/>
    </row>
    <row r="75" spans="1:24" ht="33.75" customHeight="1" x14ac:dyDescent="0.25">
      <c r="A75" s="192"/>
      <c r="B75" s="323" t="s">
        <v>260</v>
      </c>
      <c r="C75" s="1360">
        <f>'6.Détails activités passés'!L49</f>
        <v>0</v>
      </c>
      <c r="D75" s="330">
        <f>'6.Détails activités passés'!M49</f>
        <v>0</v>
      </c>
      <c r="E75" s="327">
        <f>'6.Détails activités passés'!N49</f>
        <v>0</v>
      </c>
      <c r="F75" s="327">
        <f>'8.Détails activités prév.'!Q39</f>
        <v>0</v>
      </c>
      <c r="G75" s="327">
        <f>'8.Détails activités prév.'!R39</f>
        <v>0</v>
      </c>
      <c r="H75" s="849">
        <f>'8.Détails activités prév.'!S39</f>
        <v>0</v>
      </c>
      <c r="I75" s="257"/>
      <c r="J75" s="192"/>
      <c r="K75" s="192"/>
      <c r="L75" s="192"/>
      <c r="M75" s="192"/>
      <c r="N75" s="192"/>
      <c r="O75" s="192"/>
      <c r="P75" s="192"/>
      <c r="Q75" s="192"/>
      <c r="R75" s="192"/>
      <c r="S75" s="192"/>
      <c r="T75" s="192"/>
      <c r="U75" s="192"/>
      <c r="V75" s="192"/>
      <c r="W75" s="192"/>
      <c r="X75" s="192"/>
    </row>
    <row r="76" spans="1:24" ht="33.75" customHeight="1" x14ac:dyDescent="0.25">
      <c r="A76" s="192"/>
      <c r="B76" s="324" t="s">
        <v>0</v>
      </c>
      <c r="C76" s="1364" t="str">
        <f>IF('6.Détails activités passés'!L33=0, "-",'6.Détails activités passés'!L49 /'6.Détails activités passés'!L33)</f>
        <v>-</v>
      </c>
      <c r="D76" s="331" t="str">
        <f>IF('6.Détails activités passés'!M33=0, "-",'6.Détails activités passés'!M49 /'6.Détails activités passés'!M33)</f>
        <v>-</v>
      </c>
      <c r="E76" s="328" t="str">
        <f>IF('6.Détails activités passés'!N33=0, "-",'6.Détails activités passés'!N49 /'6.Détails activités passés'!N33)</f>
        <v>-</v>
      </c>
      <c r="F76" s="328" t="str">
        <f>IF('8.Détails activités prév.'!Q23=0, "-", '8.Détails activités prév.'!Q39/'8.Détails activités prév.'!Q23)</f>
        <v>-</v>
      </c>
      <c r="G76" s="328" t="str">
        <f>IF('8.Détails activités prév.'!R23=0, "-", '8.Détails activités prév.'!R39/'8.Détails activités prév.'!R23)</f>
        <v>-</v>
      </c>
      <c r="H76" s="850" t="str">
        <f>IF('8.Détails activités prév.'!S23=0, "-", '8.Détails activités prév.'!S39/'8.Détails activités prév.'!S23)</f>
        <v>-</v>
      </c>
      <c r="I76" s="258"/>
      <c r="J76" s="192"/>
      <c r="K76" s="192"/>
      <c r="L76" s="192"/>
      <c r="M76" s="192"/>
      <c r="N76" s="192"/>
      <c r="O76" s="192"/>
      <c r="P76" s="192"/>
      <c r="Q76" s="192"/>
      <c r="R76" s="192"/>
      <c r="S76" s="192"/>
      <c r="T76" s="192"/>
      <c r="U76" s="192"/>
      <c r="V76" s="192"/>
      <c r="W76" s="192"/>
      <c r="X76" s="192"/>
    </row>
    <row r="77" spans="1:24" ht="33.75" customHeight="1" x14ac:dyDescent="0.25">
      <c r="A77" s="192"/>
      <c r="B77" s="324" t="s">
        <v>19</v>
      </c>
      <c r="C77" s="1362" t="str">
        <f>IF(('6.Détails activités passés'!L14+'6.Détails activités passés'!L25)=0,"-", ((('6.Détails activités passés'!L14+'6.Détails activités passés'!L25)-('6.Détails activités passés'!L34+'6.Détails activités passés'!L40+'6.Détails activités passés'!L44))/('6.Détails activités passés'!L14+'6.Détails activités passés'!L25)))</f>
        <v>-</v>
      </c>
      <c r="D77" s="332" t="str">
        <f>IF(('6.Détails activités passés'!M14+'6.Détails activités passés'!M25)=0,"-", ((('6.Détails activités passés'!M14+'6.Détails activités passés'!M25)-('6.Détails activités passés'!M34+'6.Détails activités passés'!M40+'6.Détails activités passés'!M44))/('6.Détails activités passés'!M14+'6.Détails activités passés'!M25)))</f>
        <v>-</v>
      </c>
      <c r="E77" s="329" t="str">
        <f>IF(('6.Détails activités passés'!N14+'6.Détails activités passés'!N25)=0,"-", ((('6.Détails activités passés'!N14+'6.Détails activités passés'!N25)-('6.Détails activités passés'!N34+'6.Détails activités passés'!N40+'6.Détails activités passés'!N44))/('6.Détails activités passés'!N14+'6.Détails activités passés'!N25)))</f>
        <v>-</v>
      </c>
      <c r="F77" s="328" t="str">
        <f>IF(('8.Détails activités prév.'!Q14+'8.Détails activités prév.'!Q15)=0,"-", ((('8.Détails activités prév.'!Q14+'8.Détails activités prév.'!Q15)-('8.Détails activités prév.'!Q24+'8.Détails activités prév.'!Q30+'8.Détails activités prév.'!Q34))/('8.Détails activités prév.'!Q14+'8.Détails activités prév.'!Q15)))</f>
        <v>-</v>
      </c>
      <c r="G77" s="328" t="str">
        <f>IF(('8.Détails activités prév.'!R14+'8.Détails activités prév.'!R15)=0,"-", ((('8.Détails activités prév.'!R14+'8.Détails activités prév.'!R15)-('8.Détails activités prév.'!R24+'8.Détails activités prév.'!R30+'8.Détails activités prév.'!R34))/('8.Détails activités prév.'!R14+'8.Détails activités prév.'!R15)))</f>
        <v>-</v>
      </c>
      <c r="H77" s="850" t="str">
        <f>IF(('8.Détails activités prév.'!S14+'8.Détails activités prév.'!S15)=0,"-", ((('8.Détails activités prév.'!S14+'8.Détails activités prév.'!S15)-('8.Détails activités prév.'!S24+'8.Détails activités prév.'!S30+'8.Détails activités prév.'!S34))/('8.Détails activités prév.'!S14+'8.Détails activités prév.'!S15)))</f>
        <v>-</v>
      </c>
      <c r="I77" s="259"/>
      <c r="J77" s="192"/>
      <c r="K77" s="192"/>
      <c r="L77" s="192"/>
      <c r="M77" s="192"/>
      <c r="N77" s="192"/>
      <c r="O77" s="192"/>
      <c r="P77" s="192"/>
      <c r="Q77" s="192"/>
      <c r="R77" s="192"/>
      <c r="S77" s="192"/>
      <c r="T77" s="192"/>
      <c r="U77" s="192"/>
      <c r="V77" s="192"/>
      <c r="W77" s="192"/>
      <c r="X77" s="192"/>
    </row>
    <row r="78" spans="1:24" ht="39.75" customHeight="1" thickBot="1" x14ac:dyDescent="0.3">
      <c r="A78" s="192"/>
      <c r="B78" s="325" t="s">
        <v>284</v>
      </c>
      <c r="C78" s="1365" t="str">
        <f>IF(('6.Détails activités passés'!I14+'6.Détails activités passés'!I25)=0, "-", (IF((('6.Détails activités passés'!I47-'6.Détails activités passés'!I34-'6.Détails activités passés'!I40-'6.Détails activités passés'!I44)/C77)&gt;0,(('6.Détails activités passés'!I47-'6.Détails activités passés'!I34-'6.Détails activités passés'!I40-'6.Détails activités passés'!I44)/C77),"modèle éco. non viable")))</f>
        <v>-</v>
      </c>
      <c r="D78" s="333" t="str">
        <f>IF(('6.Détails activités passés'!J14+'6.Détails activités passés'!J25)=0, "-", (IF((('6.Détails activités passés'!J47-'6.Détails activités passés'!J34-'6.Détails activités passés'!J40-'6.Détails activités passés'!J44)/D77)&gt;0,(('6.Détails activités passés'!J47-'6.Détails activités passés'!J34-'6.Détails activités passés'!J40-'6.Détails activités passés'!J44)/D77),"modèle éco. non viable")))</f>
        <v>-</v>
      </c>
      <c r="E78" s="1171" t="str">
        <f>IF(('6.Détails activités passés'!K14+'6.Détails activités passés'!K25)=0, "-", (IF((('6.Détails activités passés'!K47-'6.Détails activités passés'!K34-'6.Détails activités passés'!K40-'6.Détails activités passés'!K44)/E77)&gt;0,(('6.Détails activités passés'!K47-'6.Détails activités passés'!K34-'6.Détails activités passés'!K40-'6.Détails activités passés'!K44)/E77),"modèle éco. non viable")))</f>
        <v>-</v>
      </c>
      <c r="F78" s="853" t="str">
        <f>IF(('8.Détails activités prév.'!Q14+'8.Détails activités prév.'!Q15)=0, "-", (IF((('8.Détails activités prév.'!Q37-'8.Détails activités prév.'!Q24-'8.Détails activités prév.'!Q30-'8.Détails activités prév.'!Q34)/F77)&gt;0,(('8.Détails activités prév.'!Q37-'8.Détails activités prév.'!Q24-'8.Détails activités prév.'!Q30-'8.Détails activités prév.'!Q34)/F77),"modèle éco. non viable")))</f>
        <v>-</v>
      </c>
      <c r="G78" s="853" t="str">
        <f>IF(('8.Détails activités prév.'!R14+'8.Détails activités prév.'!R15)=0, "-", (IF((('8.Détails activités prév.'!R37-'8.Détails activités prév.'!R24-'8.Détails activités prév.'!R30-'8.Détails activités prév.'!R34)/G77)&gt;0,(('8.Détails activités prév.'!R37-'8.Détails activités prév.'!R24-'8.Détails activités prév.'!R30-'8.Détails activités prév.'!R34)/G77),"modèle éco. non viable")))</f>
        <v>-</v>
      </c>
      <c r="H78" s="854" t="str">
        <f>IF(('8.Détails activités prév.'!S14+'8.Détails activités prév.'!S15)=0, "-", (IF((('8.Détails activités prév.'!S37-'8.Détails activités prév.'!S24-'8.Détails activités prév.'!S30-'8.Détails activités prév.'!S34)/H77)&gt;0,(('8.Détails activités prév.'!S37-'8.Détails activités prév.'!S24-'8.Détails activités prév.'!S30-'8.Détails activités prév.'!S34)/H77),"modèle éco. non viable")))</f>
        <v>-</v>
      </c>
      <c r="I78" s="257"/>
      <c r="J78" s="192"/>
      <c r="K78" s="192"/>
      <c r="L78" s="192"/>
      <c r="M78" s="192"/>
      <c r="N78" s="192"/>
      <c r="O78" s="192"/>
      <c r="P78" s="192"/>
      <c r="Q78" s="192"/>
      <c r="R78" s="192"/>
      <c r="S78" s="192"/>
      <c r="T78" s="192"/>
      <c r="U78" s="192"/>
      <c r="V78" s="192"/>
      <c r="W78" s="192"/>
      <c r="X78" s="192"/>
    </row>
    <row r="79" spans="1:24" ht="30" customHeight="1" thickTop="1" x14ac:dyDescent="0.25">
      <c r="A79" s="192"/>
      <c r="B79" s="192"/>
      <c r="C79" s="192"/>
      <c r="D79" s="192"/>
      <c r="E79" s="192"/>
      <c r="F79" s="192"/>
      <c r="G79" s="192"/>
      <c r="H79" s="192"/>
      <c r="I79" s="192"/>
      <c r="J79" s="192"/>
      <c r="K79" s="192"/>
      <c r="L79" s="192"/>
      <c r="M79" s="192"/>
      <c r="N79" s="192"/>
      <c r="O79" s="192"/>
      <c r="P79" s="192"/>
      <c r="Q79" s="192"/>
      <c r="R79" s="192"/>
      <c r="S79" s="192"/>
      <c r="T79" s="192"/>
      <c r="U79" s="192"/>
      <c r="V79" s="192"/>
      <c r="W79" s="192"/>
      <c r="X79" s="192"/>
    </row>
    <row r="80" spans="1:24" ht="30" customHeight="1" x14ac:dyDescent="0.25">
      <c r="A80" s="192"/>
      <c r="B80" s="192"/>
      <c r="C80" s="192"/>
      <c r="D80" s="192"/>
      <c r="E80" s="192"/>
      <c r="F80" s="192"/>
      <c r="G80" s="192"/>
      <c r="H80" s="192"/>
      <c r="I80" s="192"/>
      <c r="J80" s="192"/>
      <c r="K80" s="192"/>
      <c r="L80" s="192"/>
      <c r="M80" s="192"/>
      <c r="N80" s="192"/>
      <c r="O80" s="192"/>
      <c r="P80" s="192"/>
      <c r="Q80" s="192"/>
      <c r="R80" s="192"/>
      <c r="S80" s="192"/>
      <c r="T80" s="192"/>
      <c r="U80" s="192"/>
      <c r="V80" s="192"/>
      <c r="W80" s="192"/>
      <c r="X80" s="192"/>
    </row>
    <row r="81" spans="1:24" ht="30" customHeight="1" x14ac:dyDescent="0.25">
      <c r="A81" s="192"/>
      <c r="B81" s="192"/>
      <c r="C81" s="192"/>
      <c r="D81" s="192"/>
      <c r="E81" s="192"/>
      <c r="F81" s="192"/>
      <c r="G81" s="192"/>
      <c r="H81" s="192"/>
      <c r="I81" s="192"/>
      <c r="J81" s="192"/>
      <c r="K81" s="192"/>
      <c r="L81" s="192"/>
      <c r="M81" s="192"/>
      <c r="N81" s="192"/>
      <c r="O81" s="192"/>
      <c r="P81" s="192"/>
      <c r="Q81" s="192"/>
      <c r="R81" s="192"/>
      <c r="S81" s="192"/>
      <c r="T81" s="192"/>
      <c r="U81" s="192"/>
      <c r="V81" s="192"/>
      <c r="W81" s="192"/>
      <c r="X81" s="192"/>
    </row>
    <row r="82" spans="1:24" ht="30" customHeight="1" x14ac:dyDescent="0.25">
      <c r="A82" s="192"/>
      <c r="B82" s="192"/>
      <c r="C82" s="192"/>
      <c r="D82" s="192"/>
      <c r="E82" s="192"/>
      <c r="F82" s="192"/>
      <c r="G82" s="192"/>
      <c r="H82" s="192"/>
      <c r="I82" s="192"/>
      <c r="J82" s="192"/>
      <c r="K82" s="192"/>
      <c r="L82" s="192"/>
      <c r="M82" s="192"/>
      <c r="N82" s="192"/>
      <c r="O82" s="192"/>
      <c r="P82" s="192"/>
      <c r="Q82" s="192"/>
      <c r="R82" s="192"/>
      <c r="S82" s="192"/>
      <c r="T82" s="192"/>
      <c r="U82" s="192"/>
      <c r="V82" s="192"/>
      <c r="W82" s="192"/>
      <c r="X82" s="192"/>
    </row>
    <row r="83" spans="1:24" ht="30" customHeight="1" x14ac:dyDescent="0.25">
      <c r="A83" s="192"/>
      <c r="B83" s="192"/>
      <c r="C83" s="192"/>
      <c r="D83" s="192"/>
      <c r="E83" s="192"/>
      <c r="F83" s="192"/>
      <c r="G83" s="192"/>
      <c r="H83" s="192"/>
      <c r="I83" s="192"/>
      <c r="J83" s="192"/>
      <c r="K83" s="192"/>
      <c r="L83" s="192"/>
      <c r="M83" s="192"/>
      <c r="N83" s="192"/>
      <c r="O83" s="192"/>
      <c r="P83" s="192"/>
      <c r="Q83" s="192"/>
      <c r="R83" s="192"/>
      <c r="S83" s="192"/>
      <c r="T83" s="192"/>
      <c r="U83" s="192"/>
      <c r="V83" s="192"/>
      <c r="W83" s="192"/>
      <c r="X83" s="192"/>
    </row>
    <row r="84" spans="1:24" ht="33.75" customHeight="1" x14ac:dyDescent="0.25">
      <c r="A84" s="192"/>
      <c r="B84" s="1484" t="s">
        <v>495</v>
      </c>
      <c r="C84" s="322">
        <f>D84-1</f>
        <v>2014</v>
      </c>
      <c r="D84" s="322">
        <f>E84-1</f>
        <v>2015</v>
      </c>
      <c r="E84" s="848">
        <f>'A.1.Présentation structure'!C22</f>
        <v>2016</v>
      </c>
      <c r="F84" s="1164">
        <f>E84+1</f>
        <v>2017</v>
      </c>
      <c r="G84" s="1164">
        <f>F84+1</f>
        <v>2018</v>
      </c>
      <c r="H84" s="1165">
        <f>G84+1</f>
        <v>2019</v>
      </c>
      <c r="I84" s="256"/>
      <c r="J84" s="192"/>
      <c r="K84" s="192"/>
      <c r="L84" s="192"/>
      <c r="M84" s="192"/>
      <c r="N84" s="192"/>
      <c r="O84" s="192"/>
      <c r="P84" s="192"/>
      <c r="Q84" s="192"/>
      <c r="R84" s="192"/>
      <c r="S84" s="192"/>
      <c r="T84" s="192"/>
      <c r="U84" s="192"/>
      <c r="V84" s="192"/>
      <c r="W84" s="192"/>
      <c r="X84" s="192"/>
    </row>
    <row r="85" spans="1:24" ht="33.75" customHeight="1" x14ac:dyDescent="0.25">
      <c r="A85" s="192"/>
      <c r="B85" s="323" t="s">
        <v>260</v>
      </c>
      <c r="C85" s="1360">
        <f>'6.Détails activités passés'!O49</f>
        <v>0</v>
      </c>
      <c r="D85" s="330">
        <f>'6.Détails activités passés'!P49</f>
        <v>0</v>
      </c>
      <c r="E85" s="327">
        <f>'6.Détails activités passés'!Q49</f>
        <v>0</v>
      </c>
      <c r="F85" s="330">
        <f>'8.Détails activités prév.'!U39</f>
        <v>0</v>
      </c>
      <c r="G85" s="330">
        <f>'8.Détails activités prév.'!V39</f>
        <v>0</v>
      </c>
      <c r="H85" s="849">
        <f>'8.Détails activités prév.'!W39</f>
        <v>0</v>
      </c>
      <c r="I85" s="257"/>
      <c r="J85" s="192"/>
      <c r="K85" s="192"/>
      <c r="L85" s="192"/>
      <c r="M85" s="192"/>
      <c r="N85" s="192"/>
      <c r="O85" s="192"/>
      <c r="P85" s="192"/>
      <c r="Q85" s="192"/>
      <c r="R85" s="192"/>
      <c r="S85" s="192"/>
      <c r="T85" s="192"/>
      <c r="U85" s="192"/>
      <c r="V85" s="192"/>
      <c r="W85" s="192"/>
      <c r="X85" s="192"/>
    </row>
    <row r="86" spans="1:24" ht="33.75" customHeight="1" x14ac:dyDescent="0.25">
      <c r="A86" s="192"/>
      <c r="B86" s="324" t="s">
        <v>0</v>
      </c>
      <c r="C86" s="1364" t="str">
        <f>IF('6.Détails activités passés'!O33=0, "-",'6.Détails activités passés'!O49 /'6.Détails activités passés'!O33)</f>
        <v>-</v>
      </c>
      <c r="D86" s="331" t="str">
        <f>IF('6.Détails activités passés'!P33=0, "-",'6.Détails activités passés'!P49 /'6.Détails activités passés'!P33)</f>
        <v>-</v>
      </c>
      <c r="E86" s="328" t="str">
        <f>IF('6.Détails activités passés'!Q33=0, "-",'6.Détails activités passés'!Q49 /'6.Détails activités passés'!Q33)</f>
        <v>-</v>
      </c>
      <c r="F86" s="331" t="str">
        <f>IF('8.Détails activités prév.'!U23=0, "-", '8.Détails activités prév.'!U39/'8.Détails activités prév.'!U23)</f>
        <v>-</v>
      </c>
      <c r="G86" s="331" t="str">
        <f>IF('8.Détails activités prév.'!V23=0, "-", '8.Détails activités prév.'!V39/'8.Détails activités prév.'!V23)</f>
        <v>-</v>
      </c>
      <c r="H86" s="850" t="str">
        <f>IF('8.Détails activités prév.'!W23=0, "-", '8.Détails activités prév.'!W39/'8.Détails activités prév.'!W23)</f>
        <v>-</v>
      </c>
      <c r="I86" s="258"/>
      <c r="J86" s="192"/>
      <c r="K86" s="192"/>
      <c r="L86" s="192"/>
      <c r="M86" s="192"/>
      <c r="N86" s="192"/>
      <c r="O86" s="192"/>
      <c r="P86" s="192"/>
      <c r="Q86" s="192"/>
      <c r="R86" s="192"/>
      <c r="S86" s="192"/>
      <c r="T86" s="192"/>
      <c r="U86" s="192"/>
      <c r="V86" s="192"/>
      <c r="W86" s="192"/>
      <c r="X86" s="192"/>
    </row>
    <row r="87" spans="1:24" ht="33.75" customHeight="1" x14ac:dyDescent="0.25">
      <c r="A87" s="192"/>
      <c r="B87" s="324" t="s">
        <v>19</v>
      </c>
      <c r="C87" s="1362" t="str">
        <f>IF(('6.Détails activités passés'!O14+'6.Détails activités passés'!O25)=0,"-", ((('6.Détails activités passés'!O14+'6.Détails activités passés'!O25)-('6.Détails activités passés'!O34+'6.Détails activités passés'!O40+'6.Détails activités passés'!O44))/('6.Détails activités passés'!O14+'6.Détails activités passés'!O25)))</f>
        <v>-</v>
      </c>
      <c r="D87" s="332" t="str">
        <f>IF(('6.Détails activités passés'!P14+'6.Détails activités passés'!P25)=0,"-", ((('6.Détails activités passés'!P14+'6.Détails activités passés'!P25)-('6.Détails activités passés'!P34+'6.Détails activités passés'!P40+'6.Détails activités passés'!P44))/('6.Détails activités passés'!P14+'6.Détails activités passés'!P25)))</f>
        <v>-</v>
      </c>
      <c r="E87" s="329" t="str">
        <f>IF(('6.Détails activités passés'!Q14+'6.Détails activités passés'!Q25)=0,"-", ((('6.Détails activités passés'!Q14+'6.Détails activités passés'!Q25)-('6.Détails activités passés'!Q34+'6.Détails activités passés'!Q40+'6.Détails activités passés'!Q44))/('6.Détails activités passés'!Q14+'6.Détails activités passés'!Q25)))</f>
        <v>-</v>
      </c>
      <c r="F87" s="332" t="str">
        <f>IF(('8.Détails activités prév.'!U14+'8.Détails activités prév.'!U15)=0,"-", ((('8.Détails activités prév.'!U14+'8.Détails activités prév.'!U15)-('8.Détails activités prév.'!U24+'8.Détails activités prév.'!U30+'8.Détails activités prév.'!U34))/('8.Détails activités prév.'!U14+'8.Détails activités prév.'!U15)))</f>
        <v>-</v>
      </c>
      <c r="G87" s="332" t="str">
        <f>IF(('8.Détails activités prév.'!V14+'8.Détails activités prév.'!V15)=0,"-", ((('8.Détails activités prév.'!V14+'8.Détails activités prév.'!V15)-('8.Détails activités prév.'!V24+'8.Détails activités prév.'!V30+'8.Détails activités prév.'!V34))/('8.Détails activités prév.'!V14+'8.Détails activités prév.'!V15)))</f>
        <v>-</v>
      </c>
      <c r="H87" s="851" t="str">
        <f>IF(('8.Détails activités prév.'!W14+'8.Détails activités prév.'!W15)=0,"-", ((('8.Détails activités prév.'!W14+'8.Détails activités prév.'!W15)-('8.Détails activités prév.'!W24+'8.Détails activités prév.'!W30+'8.Détails activités prév.'!W34))/('8.Détails activités prév.'!W14+'8.Détails activités prév.'!W15)))</f>
        <v>-</v>
      </c>
      <c r="I87" s="259"/>
      <c r="J87" s="192"/>
      <c r="K87" s="192"/>
      <c r="L87" s="192"/>
      <c r="M87" s="192"/>
      <c r="N87" s="192"/>
      <c r="O87" s="192"/>
      <c r="P87" s="192"/>
      <c r="Q87" s="192"/>
      <c r="R87" s="192"/>
      <c r="S87" s="192"/>
      <c r="T87" s="192"/>
      <c r="U87" s="192"/>
      <c r="V87" s="192"/>
      <c r="W87" s="192"/>
      <c r="X87" s="192"/>
    </row>
    <row r="88" spans="1:24" ht="39.75" customHeight="1" thickBot="1" x14ac:dyDescent="0.3">
      <c r="A88" s="192"/>
      <c r="B88" s="325" t="s">
        <v>284</v>
      </c>
      <c r="C88" s="1365" t="str">
        <f>IF(('6.Détails activités passés'!O14+'6.Détails activités passés'!O25)=0, "-", (IF((('6.Détails activités passés'!O47-'6.Détails activités passés'!O34-'6.Détails activités passés'!O40-'6.Détails activités passés'!O44)/C87)&gt;0,(('6.Détails activités passés'!O47-'6.Détails activités passés'!O34-'6.Détails activités passés'!O40-'6.Détails activités passés'!O44)/C87),"modèle éco. non viable")))</f>
        <v>-</v>
      </c>
      <c r="D88" s="333" t="str">
        <f>IF(('6.Détails activités passés'!P14+'6.Détails activités passés'!P25)=0, "-", (IF((('6.Détails activités passés'!P47-'6.Détails activités passés'!P34-'6.Détails activités passés'!P40-'6.Détails activités passés'!P44)/D87)&gt;0,(('6.Détails activités passés'!P47-'6.Détails activités passés'!P34-'6.Détails activités passés'!P40-'6.Détails activités passés'!P44)/D87),"modèle éco. non viable")))</f>
        <v>-</v>
      </c>
      <c r="E88" s="1171" t="str">
        <f>IF(('6.Détails activités passés'!Q14+'6.Détails activités passés'!Q25)=0, "-", (IF((('6.Détails activités passés'!Q47-'6.Détails activités passés'!Q34-'6.Détails activités passés'!Q40-'6.Détails activités passés'!Q44)/E87)&gt;0,(('6.Détails activités passés'!Q47-'6.Détails activités passés'!Q34-'6.Détails activités passés'!Q40-'6.Détails activités passés'!Q44)/E87),"modèle éco. non viable")))</f>
        <v>-</v>
      </c>
      <c r="F88" s="333" t="str">
        <f>IF(('8.Détails activités prév.'!U14+'8.Détails activités prév.'!U15)=0, "-", (IF((('8.Détails activités prév.'!U37-'8.Détails activités prév.'!U24-'8.Détails activités prév.'!U30-'8.Détails activités prév.'!U34)/F87)&gt;0,(('8.Détails activités prév.'!U37-'8.Détails activités prév.'!U24-'8.Détails activités prév.'!U30-'8.Détails activités prév.'!U34)/F87),"modèle éco. non viable")))</f>
        <v>-</v>
      </c>
      <c r="G88" s="333" t="str">
        <f>IF(('8.Détails activités prév.'!V14+'8.Détails activités prév.'!V15)=0, "-", (IF((('8.Détails activités prév.'!V37-'8.Détails activités prév.'!V24-'8.Détails activités prév.'!V30-'8.Détails activités prév.'!V34)/G87)&gt;0,(('8.Détails activités prév.'!V37-'8.Détails activités prév.'!V24-'8.Détails activités prév.'!V30-'8.Détails activités prév.'!V34)/G87),"modèle éco. non viable")))</f>
        <v>-</v>
      </c>
      <c r="H88" s="852" t="str">
        <f>IF(('8.Détails activités prév.'!W14+'8.Détails activités prév.'!W15)=0, "-", (IF((('8.Détails activités prév.'!W37-'8.Détails activités prév.'!W24-'8.Détails activités prév.'!W30-'8.Détails activités prév.'!W34)/H87)&gt;0,(('8.Détails activités prév.'!W37-'8.Détails activités prév.'!W24-'8.Détails activités prév.'!W30-'8.Détails activités prév.'!W34)/H87),"modèle éco. non viable")))</f>
        <v>-</v>
      </c>
      <c r="I88" s="257"/>
      <c r="J88" s="192"/>
      <c r="K88" s="192"/>
      <c r="L88" s="192"/>
      <c r="M88" s="192"/>
      <c r="N88" s="192"/>
      <c r="O88" s="192"/>
      <c r="P88" s="192"/>
      <c r="Q88" s="192"/>
      <c r="R88" s="192"/>
      <c r="S88" s="192"/>
      <c r="T88" s="192"/>
      <c r="U88" s="192"/>
      <c r="V88" s="192"/>
      <c r="W88" s="192"/>
      <c r="X88" s="192"/>
    </row>
    <row r="89" spans="1:24" ht="30" customHeight="1" thickTop="1" x14ac:dyDescent="0.25">
      <c r="A89" s="251"/>
      <c r="B89" s="251"/>
      <c r="J89" s="192"/>
      <c r="K89" s="192"/>
      <c r="L89" s="192"/>
      <c r="M89" s="192"/>
      <c r="N89" s="192"/>
      <c r="O89" s="192"/>
      <c r="P89" s="192"/>
      <c r="Q89" s="192"/>
      <c r="R89" s="192"/>
      <c r="S89" s="192"/>
      <c r="T89" s="192"/>
      <c r="U89" s="192"/>
      <c r="V89" s="192"/>
      <c r="W89" s="192"/>
      <c r="X89" s="192"/>
    </row>
    <row r="90" spans="1:24" ht="30" customHeight="1" x14ac:dyDescent="0.25">
      <c r="A90" s="192"/>
      <c r="B90" s="192"/>
      <c r="C90" s="252"/>
      <c r="D90" s="192"/>
      <c r="E90" s="192"/>
      <c r="F90" s="192"/>
      <c r="G90" s="192"/>
      <c r="H90" s="192"/>
      <c r="I90" s="192"/>
      <c r="J90" s="192"/>
      <c r="K90" s="192"/>
      <c r="L90" s="192"/>
      <c r="M90" s="192"/>
      <c r="N90" s="192"/>
      <c r="O90" s="192"/>
      <c r="P90" s="192"/>
      <c r="Q90" s="192"/>
      <c r="R90" s="192"/>
      <c r="S90" s="192"/>
      <c r="T90" s="192"/>
      <c r="U90" s="192"/>
      <c r="V90" s="192"/>
      <c r="W90" s="192"/>
      <c r="X90" s="192"/>
    </row>
    <row r="91" spans="1:24" ht="30" customHeight="1" x14ac:dyDescent="0.25">
      <c r="A91" s="192"/>
      <c r="B91" s="192"/>
      <c r="C91" s="252"/>
      <c r="D91" s="192"/>
      <c r="E91" s="192"/>
      <c r="F91" s="192"/>
      <c r="G91" s="192"/>
      <c r="H91" s="192"/>
      <c r="I91" s="192"/>
      <c r="J91" s="192"/>
      <c r="K91" s="192"/>
      <c r="L91" s="192"/>
      <c r="M91" s="192"/>
      <c r="N91" s="192"/>
      <c r="O91" s="192"/>
      <c r="P91" s="192"/>
      <c r="Q91" s="192"/>
      <c r="R91" s="192"/>
      <c r="S91" s="192"/>
      <c r="T91" s="192"/>
      <c r="U91" s="192"/>
      <c r="V91" s="192"/>
      <c r="W91" s="192"/>
      <c r="X91" s="192"/>
    </row>
    <row r="92" spans="1:24" ht="30" customHeight="1" x14ac:dyDescent="0.25">
      <c r="A92" s="192"/>
      <c r="B92" s="192"/>
      <c r="C92" s="252"/>
      <c r="D92" s="192"/>
      <c r="E92" s="192"/>
      <c r="F92" s="192"/>
      <c r="G92" s="192"/>
      <c r="H92" s="192"/>
      <c r="I92" s="192"/>
      <c r="J92" s="192"/>
      <c r="K92" s="192"/>
      <c r="L92" s="192"/>
      <c r="M92" s="192"/>
      <c r="N92" s="192"/>
      <c r="O92" s="192"/>
      <c r="P92" s="192"/>
      <c r="Q92" s="192"/>
      <c r="R92" s="192"/>
      <c r="S92" s="192"/>
      <c r="T92" s="192"/>
      <c r="U92" s="192"/>
      <c r="V92" s="192"/>
      <c r="W92" s="192"/>
      <c r="X92" s="192"/>
    </row>
    <row r="93" spans="1:24" ht="39.75" customHeight="1" x14ac:dyDescent="0.25">
      <c r="A93" s="192"/>
      <c r="B93" s="1485" t="s">
        <v>496</v>
      </c>
      <c r="C93" s="322">
        <f>D93-1</f>
        <v>2014</v>
      </c>
      <c r="D93" s="322">
        <f>E93-1</f>
        <v>2015</v>
      </c>
      <c r="E93" s="848">
        <f>'A.1.Présentation structure'!C22</f>
        <v>2016</v>
      </c>
      <c r="F93" s="1164">
        <f>E93+1</f>
        <v>2017</v>
      </c>
      <c r="G93" s="1164">
        <f>F93+1</f>
        <v>2018</v>
      </c>
      <c r="H93" s="1165">
        <f>G93+1</f>
        <v>2019</v>
      </c>
      <c r="I93" s="256"/>
      <c r="J93" s="192"/>
      <c r="K93" s="192"/>
      <c r="L93" s="192"/>
      <c r="M93" s="192"/>
      <c r="N93" s="192"/>
      <c r="O93" s="192"/>
      <c r="P93" s="192"/>
      <c r="Q93" s="192"/>
      <c r="R93" s="192"/>
      <c r="S93" s="192"/>
      <c r="T93" s="192"/>
      <c r="U93" s="192"/>
      <c r="V93" s="192"/>
      <c r="W93" s="192"/>
      <c r="X93" s="192"/>
    </row>
    <row r="94" spans="1:24" ht="39.75" customHeight="1" x14ac:dyDescent="0.25">
      <c r="A94" s="192"/>
      <c r="B94" s="323" t="s">
        <v>260</v>
      </c>
      <c r="C94" s="1360">
        <f>'6.Détails activités passés'!R49</f>
        <v>0</v>
      </c>
      <c r="D94" s="330">
        <f>'6.Détails activités passés'!S49</f>
        <v>0</v>
      </c>
      <c r="E94" s="327">
        <f>'6.Détails activités passés'!T57</f>
        <v>0</v>
      </c>
      <c r="F94" s="330">
        <f>'8.Détails activités prév.'!Y39</f>
        <v>0</v>
      </c>
      <c r="G94" s="330">
        <f>'8.Détails activités prév.'!Z39</f>
        <v>0</v>
      </c>
      <c r="H94" s="849">
        <f>'8.Détails activités prév.'!AA39</f>
        <v>0</v>
      </c>
      <c r="I94" s="192"/>
      <c r="J94" s="192"/>
      <c r="K94" s="192"/>
      <c r="L94" s="192"/>
      <c r="M94" s="192"/>
      <c r="N94" s="192"/>
      <c r="O94" s="192"/>
      <c r="P94" s="192"/>
      <c r="Q94" s="192"/>
      <c r="R94" s="192"/>
      <c r="S94" s="192"/>
      <c r="T94" s="192"/>
      <c r="U94" s="192"/>
      <c r="V94" s="192"/>
      <c r="W94" s="192"/>
      <c r="X94" s="192"/>
    </row>
    <row r="95" spans="1:24" ht="39.75" customHeight="1" x14ac:dyDescent="0.25">
      <c r="A95" s="192"/>
      <c r="B95" s="324" t="s">
        <v>0</v>
      </c>
      <c r="C95" s="1364" t="str">
        <f>IF('6.Détails activités passés'!R33=0, "-",'6.Détails activités passés'!R49 /'6.Détails activités passés'!R33)</f>
        <v>-</v>
      </c>
      <c r="D95" s="331" t="str">
        <f>IF('6.Détails activités passés'!S33=0, "-",'6.Détails activités passés'!S49 /'6.Détails activités passés'!S33)</f>
        <v>-</v>
      </c>
      <c r="E95" s="328" t="str">
        <f>IF('6.Détails activités passés'!T33=0, "-",'6.Détails activités passés'!T49 /'6.Détails activités passés'!T33)</f>
        <v>-</v>
      </c>
      <c r="F95" s="331" t="str">
        <f>IF('8.Détails activités prév.'!Y23=0, "-", '8.Détails activités prév.'!Y39/'8.Détails activités prév.'!Y23)</f>
        <v>-</v>
      </c>
      <c r="G95" s="331" t="str">
        <f>IF('8.Détails activités prév.'!Z23=0, "-", '8.Détails activités prév.'!Z39/'8.Détails activités prév.'!Z23)</f>
        <v>-</v>
      </c>
      <c r="H95" s="850" t="str">
        <f>IF('8.Détails activités prév.'!AA23=0, "-", '8.Détails activités prév.'!AA39/'8.Détails activités prév.'!AA23)</f>
        <v>-</v>
      </c>
      <c r="I95" s="192"/>
      <c r="J95" s="192"/>
      <c r="K95" s="192"/>
      <c r="L95" s="192"/>
      <c r="M95" s="192"/>
      <c r="N95" s="192"/>
      <c r="O95" s="192"/>
      <c r="P95" s="192"/>
      <c r="Q95" s="192"/>
      <c r="R95" s="192"/>
      <c r="S95" s="192"/>
      <c r="T95" s="192"/>
      <c r="U95" s="192"/>
      <c r="V95" s="192"/>
      <c r="W95" s="192"/>
      <c r="X95" s="192"/>
    </row>
    <row r="96" spans="1:24" ht="39.75" customHeight="1" x14ac:dyDescent="0.25">
      <c r="A96" s="192"/>
      <c r="B96" s="324" t="s">
        <v>19</v>
      </c>
      <c r="C96" s="1362" t="str">
        <f>IF(('6.Détails activités passés'!R14+'6.Détails activités passés'!R25)=0,"-", ((('6.Détails activités passés'!R14+'6.Détails activités passés'!R25)-('6.Détails activités passés'!R34+'6.Détails activités passés'!R40+'6.Détails activités passés'!R44))/('6.Détails activités passés'!R14+'6.Détails activités passés'!R25)))</f>
        <v>-</v>
      </c>
      <c r="D96" s="332" t="str">
        <f>IF(('6.Détails activités passés'!S14+'6.Détails activités passés'!S25)=0,"-", ((('6.Détails activités passés'!S14+'6.Détails activités passés'!S25)-('6.Détails activités passés'!S34+'6.Détails activités passés'!S40+'6.Détails activités passés'!S44))/('6.Détails activités passés'!S14+'6.Détails activités passés'!S25)))</f>
        <v>-</v>
      </c>
      <c r="E96" s="329" t="str">
        <f>IF('6.Détails activités passés'!T33=0, "-",'6.Détails activités passés'!T49 /'6.Détails activités passés'!T33)</f>
        <v>-</v>
      </c>
      <c r="F96" s="332" t="str">
        <f>IF('8.Détails activités prév.'!Y23=0, "-", '8.Détails activités prév.'!Y39/'8.Détails activités prév.'!Y23)</f>
        <v>-</v>
      </c>
      <c r="G96" s="332" t="str">
        <f>IF('8.Détails activités prév.'!Z23=0, "-", '8.Détails activités prév.'!Z39/'8.Détails activités prév.'!Z23)</f>
        <v>-</v>
      </c>
      <c r="H96" s="851" t="str">
        <f>IF('8.Détails activités prév.'!AA23=0, "-", '8.Détails activités prév.'!AA39/'8.Détails activités prév.'!AA23)</f>
        <v>-</v>
      </c>
      <c r="I96" s="192"/>
      <c r="J96" s="192"/>
      <c r="K96" s="192"/>
      <c r="L96" s="192"/>
      <c r="M96" s="192"/>
      <c r="N96" s="192"/>
      <c r="O96" s="192"/>
      <c r="P96" s="192"/>
      <c r="Q96" s="192"/>
      <c r="R96" s="192"/>
      <c r="S96" s="192"/>
      <c r="T96" s="192"/>
      <c r="U96" s="192"/>
      <c r="V96" s="192"/>
      <c r="W96" s="192"/>
      <c r="X96" s="192"/>
    </row>
    <row r="97" spans="1:24" ht="39.75" customHeight="1" thickBot="1" x14ac:dyDescent="0.3">
      <c r="A97" s="192"/>
      <c r="B97" s="325" t="s">
        <v>284</v>
      </c>
      <c r="C97" s="1365" t="str">
        <f>IF(('6.Détails activités passés'!R14+'6.Détails activités passés'!R25)=0, "-", (IF((('6.Détails activités passés'!R47-'6.Détails activités passés'!R34-'6.Détails activités passés'!R40-'6.Détails activités passés'!R44)/C96)&gt;0,(('6.Détails activités passés'!R47-'6.Détails activités passés'!R34-'6.Détails activités passés'!R40-'6.Détails activités passés'!R44)/C96),"modèle éco. non viable")))</f>
        <v>-</v>
      </c>
      <c r="D97" s="333" t="str">
        <f>IF(('6.Détails activités passés'!S14+'6.Détails activités passés'!S25)=0, "-", (IF((('6.Détails activités passés'!S47-'6.Détails activités passés'!S34-'6.Détails activités passés'!S40-'6.Détails activités passés'!S44)/D96)&gt;0,(('6.Détails activités passés'!S47-'6.Détails activités passés'!S34-'6.Détails activités passés'!S40-'6.Détails activités passés'!S44)/D96),"modèle éco. non viable")))</f>
        <v>-</v>
      </c>
      <c r="E97" s="1171" t="str">
        <f>IF(('6.Détails activités passés'!T14+'6.Détails activités passés'!T25)=0, "-", (IF((('6.Détails activités passés'!T47-'6.Détails activités passés'!T34-'6.Détails activités passés'!T40-'6.Détails activités passés'!T44)/E96)&gt;0,(('6.Détails activités passés'!T47-'6.Détails activités passés'!T34-'6.Détails activités passés'!T40-'6.Détails activités passés'!T44)/E96),"modèle éco. non viable")))</f>
        <v>-</v>
      </c>
      <c r="F97" s="333" t="str">
        <f>IF(('8.Détails activités prév.'!Y14+'8.Détails activités prév.'!Y15)=0, "-", (IF((('8.Détails activités prév.'!Y37-'8.Détails activités prév.'!Y24-'8.Détails activités prév.'!Y30-'8.Détails activités prév.'!Y34)/F96)&gt;0,(('8.Détails activités prév.'!Y37-'8.Détails activités prév.'!Y24-'8.Détails activités prév.'!Y30-'8.Détails activités prév.'!Y34)/F96),"modèle éco. non viable")))</f>
        <v>-</v>
      </c>
      <c r="G97" s="333" t="str">
        <f>IF(('8.Détails activités prév.'!Z14+'8.Détails activités prév.'!Z15)=0, "-", (IF((('8.Détails activités prév.'!Z37-'8.Détails activités prév.'!Z24-'8.Détails activités prév.'!Z30-'8.Détails activités prév.'!Z34)/F96)&gt;0,(('8.Détails activités prév.'!Z37-'8.Détails activités prév.'!Z24-'8.Détails activités prév.'!Z30-'8.Détails activités prév.'!Z34)/F796),"modèle éco. non viable")))</f>
        <v>-</v>
      </c>
      <c r="H97" s="852" t="str">
        <f>IF(('8.Détails activités prév.'!AA14+'8.Détails activités prév.'!AA15)=0, "-", (IF((('8.Détails activités prév.'!AA37-'8.Détails activités prév.'!AA24-'8.Détails activités prév.'!AA30-'8.Détails activités prév.'!AA34)/H96)&gt;0,(('8.Détails activités prév.'!AA37-'8.Détails activités prév.'!AA24-'8.Détails activités prév.'!AA30-'8.Détails activités prév.'!AA34)/H96),"modèle éco. non viable")))</f>
        <v>-</v>
      </c>
      <c r="I97" s="192"/>
      <c r="J97" s="192"/>
      <c r="K97" s="192"/>
      <c r="L97" s="192"/>
      <c r="M97" s="192"/>
      <c r="N97" s="192"/>
      <c r="O97" s="192"/>
      <c r="P97" s="192"/>
      <c r="Q97" s="192"/>
      <c r="R97" s="192"/>
      <c r="S97" s="192"/>
      <c r="T97" s="192"/>
      <c r="U97" s="192"/>
      <c r="V97" s="192"/>
      <c r="W97" s="192"/>
      <c r="X97" s="192"/>
    </row>
    <row r="98" spans="1:24" ht="30" customHeight="1" thickTop="1" x14ac:dyDescent="0.25">
      <c r="A98" s="192"/>
      <c r="B98" s="368"/>
      <c r="C98" s="1483"/>
      <c r="D98" s="1483"/>
      <c r="E98" s="1483"/>
      <c r="F98" s="1483"/>
      <c r="G98" s="1483"/>
      <c r="H98" s="1483"/>
      <c r="I98" s="192"/>
      <c r="J98" s="192"/>
      <c r="K98" s="192"/>
      <c r="L98" s="192"/>
      <c r="M98" s="192"/>
      <c r="N98" s="192"/>
      <c r="O98" s="192"/>
      <c r="P98" s="192"/>
      <c r="Q98" s="192"/>
      <c r="R98" s="192"/>
      <c r="S98" s="192"/>
      <c r="T98" s="192"/>
      <c r="U98" s="192"/>
      <c r="V98" s="192"/>
      <c r="W98" s="192"/>
      <c r="X98" s="192"/>
    </row>
    <row r="99" spans="1:24" ht="37.5" customHeight="1" x14ac:dyDescent="0.25">
      <c r="A99" s="192"/>
      <c r="I99" s="192"/>
      <c r="J99" s="192"/>
      <c r="K99" s="192"/>
      <c r="L99" s="192"/>
      <c r="M99" s="192"/>
      <c r="N99" s="192"/>
      <c r="O99" s="192"/>
      <c r="P99" s="192"/>
      <c r="Q99" s="192"/>
      <c r="R99" s="192"/>
      <c r="S99" s="192"/>
      <c r="T99" s="192"/>
      <c r="U99" s="192"/>
      <c r="V99" s="192"/>
      <c r="W99" s="192"/>
      <c r="X99" s="192"/>
    </row>
    <row r="100" spans="1:24" ht="37.5" customHeight="1" x14ac:dyDescent="0.25">
      <c r="A100" s="192"/>
      <c r="B100" s="1371"/>
      <c r="C100" s="1371"/>
      <c r="D100" s="1371"/>
      <c r="E100" s="1371"/>
      <c r="F100" s="1371"/>
      <c r="G100" s="1371"/>
      <c r="H100" s="1371"/>
      <c r="I100" s="192"/>
      <c r="J100" s="192"/>
      <c r="K100" s="192"/>
      <c r="L100" s="192"/>
      <c r="M100" s="192"/>
      <c r="N100" s="192"/>
      <c r="O100" s="192"/>
      <c r="P100" s="192"/>
      <c r="Q100" s="192"/>
      <c r="R100" s="192"/>
      <c r="S100" s="192"/>
      <c r="T100" s="192"/>
      <c r="U100" s="192"/>
      <c r="V100" s="192"/>
      <c r="W100" s="192"/>
      <c r="X100" s="192"/>
    </row>
    <row r="101" spans="1:24" ht="59.25" customHeight="1" x14ac:dyDescent="0.2">
      <c r="A101" s="192"/>
      <c r="B101" s="1371"/>
      <c r="C101" s="1371"/>
      <c r="D101" s="1371"/>
      <c r="E101" s="1371"/>
      <c r="F101" s="1371"/>
      <c r="G101" s="1371"/>
      <c r="H101" s="1371"/>
      <c r="I101" s="192"/>
      <c r="J101" s="2319" t="s">
        <v>515</v>
      </c>
      <c r="K101" s="2319"/>
      <c r="L101" s="2319"/>
      <c r="M101" s="2319"/>
      <c r="N101" s="2319"/>
      <c r="O101" s="2319"/>
      <c r="P101" s="2319"/>
      <c r="Q101" s="2319"/>
      <c r="R101" s="2319"/>
      <c r="S101" s="2319"/>
      <c r="T101" s="192"/>
      <c r="U101" s="192"/>
      <c r="V101" s="192"/>
      <c r="W101" s="192"/>
      <c r="X101" s="192"/>
    </row>
    <row r="102" spans="1:24" ht="30" customHeight="1" x14ac:dyDescent="0.25">
      <c r="B102" s="710"/>
      <c r="C102" s="1243"/>
      <c r="D102" s="710"/>
      <c r="E102" s="710"/>
      <c r="F102" s="710"/>
      <c r="G102" s="710"/>
      <c r="H102" s="710"/>
      <c r="I102" s="710"/>
      <c r="J102" s="710"/>
      <c r="K102" s="710"/>
      <c r="L102" s="710"/>
      <c r="M102" s="710"/>
      <c r="N102" s="710"/>
      <c r="O102" s="710"/>
      <c r="P102" s="710"/>
      <c r="Q102" s="710"/>
      <c r="R102" s="710"/>
      <c r="S102" s="710"/>
      <c r="T102" s="710"/>
      <c r="U102" s="710"/>
      <c r="V102" s="710"/>
    </row>
    <row r="103" spans="1:24" ht="30" customHeight="1" x14ac:dyDescent="0.25">
      <c r="B103" s="2310" t="s">
        <v>311</v>
      </c>
      <c r="C103" s="2311"/>
      <c r="D103" s="2311"/>
      <c r="E103" s="2311"/>
      <c r="F103" s="2311"/>
      <c r="G103" s="2311"/>
      <c r="H103" s="2311"/>
      <c r="I103" s="2311"/>
      <c r="J103" s="2311"/>
      <c r="K103" s="2311"/>
      <c r="L103" s="2311"/>
      <c r="M103" s="2311"/>
      <c r="N103" s="2311"/>
      <c r="O103" s="2311"/>
      <c r="P103" s="2311"/>
      <c r="Q103" s="2311"/>
      <c r="R103" s="2311"/>
      <c r="S103" s="2311"/>
      <c r="T103" s="2311"/>
      <c r="U103" s="2311"/>
      <c r="V103" s="2312"/>
    </row>
    <row r="104" spans="1:24" ht="33.75" customHeight="1" x14ac:dyDescent="0.25">
      <c r="B104" s="2301"/>
      <c r="C104" s="2302"/>
      <c r="D104" s="2302"/>
      <c r="E104" s="2302"/>
      <c r="F104" s="2302"/>
      <c r="G104" s="2302"/>
      <c r="H104" s="2302"/>
      <c r="I104" s="2302"/>
      <c r="J104" s="2302"/>
      <c r="K104" s="2302"/>
      <c r="L104" s="2302"/>
      <c r="M104" s="2302"/>
      <c r="N104" s="2302"/>
      <c r="O104" s="2302"/>
      <c r="P104" s="2302"/>
      <c r="Q104" s="2302"/>
      <c r="R104" s="2302"/>
      <c r="S104" s="2302"/>
      <c r="T104" s="2302"/>
      <c r="U104" s="2302"/>
      <c r="V104" s="2303"/>
    </row>
    <row r="105" spans="1:24" ht="23.25" customHeight="1" x14ac:dyDescent="0.25">
      <c r="B105" s="2304"/>
      <c r="C105" s="2305"/>
      <c r="D105" s="2305"/>
      <c r="E105" s="2305"/>
      <c r="F105" s="2305"/>
      <c r="G105" s="2305"/>
      <c r="H105" s="2305"/>
      <c r="I105" s="2305"/>
      <c r="J105" s="2305"/>
      <c r="K105" s="2305"/>
      <c r="L105" s="2305"/>
      <c r="M105" s="2305"/>
      <c r="N105" s="2305"/>
      <c r="O105" s="2305"/>
      <c r="P105" s="2305"/>
      <c r="Q105" s="2305"/>
      <c r="R105" s="2305"/>
      <c r="S105" s="2305"/>
      <c r="T105" s="2305"/>
      <c r="U105" s="2305"/>
      <c r="V105" s="2306"/>
    </row>
    <row r="106" spans="1:24" ht="23.25" customHeight="1" x14ac:dyDescent="0.25">
      <c r="B106" s="2304"/>
      <c r="C106" s="2305"/>
      <c r="D106" s="2305"/>
      <c r="E106" s="2305"/>
      <c r="F106" s="2305"/>
      <c r="G106" s="2305"/>
      <c r="H106" s="2305"/>
      <c r="I106" s="2305"/>
      <c r="J106" s="2305"/>
      <c r="K106" s="2305"/>
      <c r="L106" s="2305"/>
      <c r="M106" s="2305"/>
      <c r="N106" s="2305"/>
      <c r="O106" s="2305"/>
      <c r="P106" s="2305"/>
      <c r="Q106" s="2305"/>
      <c r="R106" s="2305"/>
      <c r="S106" s="2305"/>
      <c r="T106" s="2305"/>
      <c r="U106" s="2305"/>
      <c r="V106" s="2306"/>
    </row>
    <row r="107" spans="1:24" ht="23.25" customHeight="1" x14ac:dyDescent="0.25">
      <c r="B107" s="2304"/>
      <c r="C107" s="2305"/>
      <c r="D107" s="2305"/>
      <c r="E107" s="2305"/>
      <c r="F107" s="2305"/>
      <c r="G107" s="2305"/>
      <c r="H107" s="2305"/>
      <c r="I107" s="2305"/>
      <c r="J107" s="2305"/>
      <c r="K107" s="2305"/>
      <c r="L107" s="2305"/>
      <c r="M107" s="2305"/>
      <c r="N107" s="2305"/>
      <c r="O107" s="2305"/>
      <c r="P107" s="2305"/>
      <c r="Q107" s="2305"/>
      <c r="R107" s="2305"/>
      <c r="S107" s="2305"/>
      <c r="T107" s="2305"/>
      <c r="U107" s="2305"/>
      <c r="V107" s="2306"/>
    </row>
    <row r="108" spans="1:24" ht="23.25" customHeight="1" thickBot="1" x14ac:dyDescent="0.3">
      <c r="B108" s="2307"/>
      <c r="C108" s="2308"/>
      <c r="D108" s="2308"/>
      <c r="E108" s="2308"/>
      <c r="F108" s="2308"/>
      <c r="G108" s="2308"/>
      <c r="H108" s="2308"/>
      <c r="I108" s="2308"/>
      <c r="J108" s="2308"/>
      <c r="K108" s="2308"/>
      <c r="L108" s="2308"/>
      <c r="M108" s="2308"/>
      <c r="N108" s="2308"/>
      <c r="O108" s="2308"/>
      <c r="P108" s="2308"/>
      <c r="Q108" s="2308"/>
      <c r="R108" s="2308"/>
      <c r="S108" s="2308"/>
      <c r="T108" s="2308"/>
      <c r="U108" s="2308"/>
      <c r="V108" s="2309"/>
    </row>
    <row r="109" spans="1:24" ht="23.25" customHeight="1" thickTop="1" x14ac:dyDescent="0.25"/>
  </sheetData>
  <sheetProtection password="CC57" sheet="1" objects="1" scenarios="1"/>
  <protectedRanges>
    <protectedRange sqref="B104:V108" name="Plage3"/>
  </protectedRanges>
  <mergeCells count="9">
    <mergeCell ref="B26:D27"/>
    <mergeCell ref="B2:V2"/>
    <mergeCell ref="B5:V5"/>
    <mergeCell ref="B104:V108"/>
    <mergeCell ref="B103:V103"/>
    <mergeCell ref="J39:V39"/>
    <mergeCell ref="B23:V23"/>
    <mergeCell ref="B39:H39"/>
    <mergeCell ref="J101:S101"/>
  </mergeCells>
  <phoneticPr fontId="50" type="noConversion"/>
  <printOptions horizontalCentered="1"/>
  <pageMargins left="0.70866141732283472" right="0.70866141732283472" top="0.74803149606299213" bottom="0.74803149606299213" header="0.31496062992125984" footer="0.31496062992125984"/>
  <pageSetup paperSize="9" scale="29" orientation="portrait" r:id="rId1"/>
  <headerFooter>
    <oddHeader>&amp;R&amp;G</oddHeader>
  </headerFooter>
  <drawing r:id="rId2"/>
  <legacyDrawing r:id="rId3"/>
  <legacyDrawingHF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6">
    <pageSetUpPr fitToPage="1"/>
  </sheetPr>
  <dimension ref="A1:Q72"/>
  <sheetViews>
    <sheetView showGridLines="0" topLeftCell="A10" zoomScale="85" zoomScaleNormal="85" workbookViewId="0">
      <selection activeCell="I46" sqref="I46:K46"/>
    </sheetView>
  </sheetViews>
  <sheetFormatPr baseColWidth="10" defaultRowHeight="12.75" x14ac:dyDescent="0.25"/>
  <cols>
    <col min="1" max="1" width="2.7109375" style="515" customWidth="1"/>
    <col min="2" max="2" width="52.5703125" style="515" customWidth="1"/>
    <col min="3" max="5" width="12.7109375" style="515" customWidth="1"/>
    <col min="6" max="6" width="10.85546875" style="515" customWidth="1"/>
    <col min="7" max="7" width="33.140625" style="515" customWidth="1"/>
    <col min="8" max="13" width="11.85546875" style="515" customWidth="1"/>
    <col min="14" max="16384" width="11.42578125" style="515"/>
  </cols>
  <sheetData>
    <row r="1" spans="1:14" ht="15.75" customHeight="1" x14ac:dyDescent="0.25">
      <c r="A1" s="1245"/>
      <c r="B1" s="1245"/>
      <c r="C1" s="1245"/>
      <c r="D1" s="1245"/>
      <c r="E1" s="1246"/>
      <c r="F1" s="1246"/>
      <c r="G1" s="1247"/>
      <c r="H1" s="1247"/>
      <c r="I1" s="1247"/>
      <c r="J1" s="1247"/>
      <c r="K1" s="1248"/>
      <c r="L1" s="1248"/>
      <c r="M1" s="1248"/>
      <c r="N1" s="1245"/>
    </row>
    <row r="2" spans="1:14" ht="20.25" customHeight="1" thickBot="1" x14ac:dyDescent="0.3">
      <c r="A2" s="1245"/>
      <c r="B2" s="1964" t="s">
        <v>405</v>
      </c>
      <c r="C2" s="1965"/>
      <c r="D2" s="1965"/>
      <c r="E2" s="1966"/>
      <c r="F2" s="1246"/>
      <c r="G2" s="1964" t="s">
        <v>407</v>
      </c>
      <c r="H2" s="1965"/>
      <c r="I2" s="1965"/>
      <c r="J2" s="1965"/>
      <c r="K2" s="1965"/>
      <c r="L2" s="1965"/>
      <c r="M2" s="1966"/>
      <c r="N2" s="1245"/>
    </row>
    <row r="3" spans="1:14" ht="15.75" customHeight="1" thickTop="1" thickBot="1" x14ac:dyDescent="0.3">
      <c r="A3" s="1245"/>
      <c r="B3" s="1245"/>
      <c r="C3" s="1245"/>
      <c r="D3" s="1245"/>
      <c r="E3" s="1245"/>
      <c r="F3" s="1246"/>
      <c r="G3" s="1245"/>
      <c r="H3" s="1245"/>
      <c r="I3" s="1245"/>
      <c r="J3" s="1245"/>
      <c r="K3" s="1245"/>
      <c r="L3" s="1245"/>
      <c r="M3" s="1245"/>
      <c r="N3" s="1245"/>
    </row>
    <row r="4" spans="1:14" ht="26.25" customHeight="1" thickTop="1" thickBot="1" x14ac:dyDescent="0.3">
      <c r="A4" s="1245"/>
      <c r="B4" s="2335" t="s">
        <v>493</v>
      </c>
      <c r="C4" s="2336"/>
      <c r="D4" s="2336"/>
      <c r="E4" s="2336"/>
      <c r="F4" s="2336"/>
      <c r="G4" s="2336"/>
      <c r="H4" s="2336"/>
      <c r="I4" s="2336"/>
      <c r="J4" s="2336"/>
      <c r="K4" s="2336"/>
      <c r="L4" s="2336"/>
      <c r="M4" s="2337"/>
      <c r="N4" s="1245"/>
    </row>
    <row r="5" spans="1:14" ht="15.75" customHeight="1" thickTop="1" x14ac:dyDescent="0.25">
      <c r="A5" s="1245"/>
      <c r="B5" s="1245"/>
      <c r="C5" s="1245"/>
      <c r="D5" s="1245"/>
      <c r="E5" s="1245"/>
      <c r="F5" s="1246"/>
      <c r="G5" s="1245"/>
      <c r="H5" s="1245"/>
      <c r="I5" s="1245"/>
      <c r="J5" s="1245"/>
      <c r="K5" s="1245"/>
      <c r="L5" s="1245"/>
      <c r="M5" s="1245"/>
      <c r="N5" s="1245"/>
    </row>
    <row r="6" spans="1:14" ht="15.75" customHeight="1" x14ac:dyDescent="0.25">
      <c r="A6" s="1245"/>
      <c r="B6" s="1250"/>
      <c r="C6" s="653">
        <f>'7.Budgets prévisionnels'!E6</f>
        <v>2017</v>
      </c>
      <c r="D6" s="655">
        <f>C6+1</f>
        <v>2018</v>
      </c>
      <c r="E6" s="654">
        <f>D6+1</f>
        <v>2019</v>
      </c>
      <c r="F6" s="1246"/>
      <c r="G6" s="1245"/>
      <c r="H6" s="1245"/>
      <c r="I6" s="1245"/>
      <c r="J6" s="1245"/>
      <c r="K6" s="1245"/>
      <c r="L6" s="1245"/>
      <c r="M6" s="1245"/>
      <c r="N6" s="1245"/>
    </row>
    <row r="7" spans="1:14" ht="15.75" customHeight="1" thickBot="1" x14ac:dyDescent="0.3">
      <c r="A7" s="1245"/>
      <c r="B7" s="588" t="s">
        <v>361</v>
      </c>
      <c r="C7" s="589">
        <f>'9.Plan d''investissement'!C34</f>
        <v>0</v>
      </c>
      <c r="D7" s="590">
        <f>'9.Plan d''investissement'!D34</f>
        <v>0</v>
      </c>
      <c r="E7" s="591">
        <f>'9.Plan d''investissement'!E34</f>
        <v>0</v>
      </c>
      <c r="F7" s="1246"/>
      <c r="G7" s="2328" t="s">
        <v>379</v>
      </c>
      <c r="H7" s="1956"/>
      <c r="I7" s="1956"/>
      <c r="J7" s="1956"/>
      <c r="K7" s="1956"/>
      <c r="L7" s="1956"/>
      <c r="M7" s="1956"/>
      <c r="N7" s="1259"/>
    </row>
    <row r="8" spans="1:14" ht="15.75" customHeight="1" thickTop="1" x14ac:dyDescent="0.25">
      <c r="A8" s="1245"/>
      <c r="B8" s="592" t="s">
        <v>363</v>
      </c>
      <c r="C8" s="589">
        <f>'9.Plan d''investissement'!C35</f>
        <v>0</v>
      </c>
      <c r="D8" s="590">
        <f>'9.Plan d''investissement'!D35</f>
        <v>0</v>
      </c>
      <c r="E8" s="591">
        <f>'9.Plan d''investissement'!E35</f>
        <v>0</v>
      </c>
      <c r="F8" s="1246"/>
      <c r="G8" s="1245"/>
      <c r="H8" s="1245"/>
      <c r="I8" s="1245"/>
      <c r="J8" s="1245"/>
      <c r="K8" s="1245"/>
      <c r="L8" s="1245"/>
      <c r="M8" s="1245"/>
      <c r="N8" s="1245"/>
    </row>
    <row r="9" spans="1:14" ht="15.75" customHeight="1" x14ac:dyDescent="0.25">
      <c r="A9" s="1245"/>
      <c r="B9" s="592" t="s">
        <v>365</v>
      </c>
      <c r="C9" s="593">
        <f>I51</f>
        <v>0</v>
      </c>
      <c r="D9" s="594">
        <f>J51</f>
        <v>0</v>
      </c>
      <c r="E9" s="595">
        <f>K51</f>
        <v>0</v>
      </c>
      <c r="F9" s="1246"/>
      <c r="G9" s="1245"/>
      <c r="H9" s="583">
        <f>I9-1</f>
        <v>2014</v>
      </c>
      <c r="I9" s="584">
        <f>J9-1</f>
        <v>2015</v>
      </c>
      <c r="J9" s="584">
        <f>K9-1</f>
        <v>2016</v>
      </c>
      <c r="K9" s="655">
        <f>C6</f>
        <v>2017</v>
      </c>
      <c r="L9" s="655">
        <f>K9+1</f>
        <v>2018</v>
      </c>
      <c r="M9" s="651">
        <f>L9+1</f>
        <v>2019</v>
      </c>
      <c r="N9" s="1245"/>
    </row>
    <row r="10" spans="1:14" ht="15.75" customHeight="1" x14ac:dyDescent="0.25">
      <c r="A10" s="1245"/>
      <c r="B10" s="592" t="s">
        <v>366</v>
      </c>
      <c r="C10" s="596">
        <f>C52</f>
        <v>0</v>
      </c>
      <c r="D10" s="597">
        <f>D52</f>
        <v>0</v>
      </c>
      <c r="E10" s="598">
        <f>E52</f>
        <v>0</v>
      </c>
      <c r="F10" s="1246"/>
      <c r="G10" s="683" t="s">
        <v>409</v>
      </c>
      <c r="H10" s="684">
        <f>'B.3.Comptes passés &amp; en cours'!C43+'B.3.Comptes passés &amp; en cours'!C31-'B.3.Comptes passés &amp; en cours'!I29-'B.3.Comptes passés &amp; en cours'!I30</f>
        <v>0</v>
      </c>
      <c r="I10" s="685">
        <f>'B.3.Comptes passés &amp; en cours'!D43+'B.3.Comptes passés &amp; en cours'!D31-'B.3.Comptes passés &amp; en cours'!J29-'B.3.Comptes passés &amp; en cours'!J30</f>
        <v>0</v>
      </c>
      <c r="J10" s="685">
        <f xml:space="preserve"> 'B.3.Comptes passés &amp; en cours'!E43+'B.3.Comptes passés &amp; en cours'!E31-'B.3.Comptes passés &amp; en cours'!K29-'B.3.Comptes passés &amp; en cours'!K30</f>
        <v>0</v>
      </c>
      <c r="K10" s="685">
        <f>'7.Budgets prévisionnels'!E38+'7.Budgets prévisionnels'!E29+'7.Budgets prévisionnels'!E30-'7.Budgets prévisionnels'!E12-'7.Budgets prévisionnels'!E13</f>
        <v>0</v>
      </c>
      <c r="L10" s="685">
        <f>'7.Budgets prévisionnels'!F38+'7.Budgets prévisionnels'!F29+'7.Budgets prévisionnels'!F30-'7.Budgets prévisionnels'!F12-'7.Budgets prévisionnels'!F13</f>
        <v>0</v>
      </c>
      <c r="M10" s="686">
        <f>'7.Budgets prévisionnels'!G38+'7.Budgets prévisionnels'!G29+'7.Budgets prévisionnels'!G30-'7.Budgets prévisionnels'!G12-'7.Budgets prévisionnels'!G13</f>
        <v>0</v>
      </c>
      <c r="N10" s="1245"/>
    </row>
    <row r="11" spans="1:14" ht="15.75" customHeight="1" x14ac:dyDescent="0.25">
      <c r="A11" s="1245"/>
      <c r="B11" s="58" t="s">
        <v>368</v>
      </c>
      <c r="C11" s="599">
        <f>SUM(C7:C10)</f>
        <v>0</v>
      </c>
      <c r="D11" s="600">
        <f>SUM(D7:D10)</f>
        <v>0</v>
      </c>
      <c r="E11" s="601">
        <f>SUM(E7:E10)</f>
        <v>0</v>
      </c>
      <c r="F11" s="1246"/>
      <c r="G11" s="36" t="s">
        <v>408</v>
      </c>
      <c r="H11" s="687"/>
      <c r="I11" s="688"/>
      <c r="J11" s="688"/>
      <c r="K11" s="689"/>
      <c r="L11" s="688"/>
      <c r="M11" s="690"/>
      <c r="N11" s="1245"/>
    </row>
    <row r="12" spans="1:14" ht="15.75" customHeight="1" x14ac:dyDescent="0.25">
      <c r="A12" s="1245"/>
      <c r="B12" s="1250"/>
      <c r="C12" s="1257"/>
      <c r="D12" s="1257"/>
      <c r="E12" s="1257"/>
      <c r="F12" s="1246"/>
      <c r="G12" s="682" t="s">
        <v>406</v>
      </c>
      <c r="H12" s="691">
        <f>H10-H11</f>
        <v>0</v>
      </c>
      <c r="I12" s="692">
        <f>I10-I11</f>
        <v>0</v>
      </c>
      <c r="J12" s="692">
        <f>J10-J11</f>
        <v>0</v>
      </c>
      <c r="K12" s="692">
        <f t="shared" ref="K12:M12" si="0">K10-K11</f>
        <v>0</v>
      </c>
      <c r="L12" s="692">
        <f t="shared" si="0"/>
        <v>0</v>
      </c>
      <c r="M12" s="693">
        <f t="shared" si="0"/>
        <v>0</v>
      </c>
      <c r="N12" s="1245"/>
    </row>
    <row r="13" spans="1:14" ht="15.75" customHeight="1" x14ac:dyDescent="0.25">
      <c r="A13" s="1245"/>
      <c r="B13" s="588" t="s">
        <v>371</v>
      </c>
      <c r="C13" s="675"/>
      <c r="D13" s="634"/>
      <c r="E13" s="635"/>
      <c r="F13" s="1246"/>
      <c r="G13" s="1245"/>
      <c r="H13" s="1245"/>
      <c r="I13" s="1245"/>
      <c r="J13" s="1245"/>
      <c r="K13" s="1245"/>
      <c r="L13" s="1245"/>
      <c r="M13" s="1245"/>
      <c r="N13" s="1245"/>
    </row>
    <row r="14" spans="1:14" ht="15.75" customHeight="1" x14ac:dyDescent="0.25">
      <c r="A14" s="1245"/>
      <c r="B14" s="592" t="s">
        <v>373</v>
      </c>
      <c r="C14" s="676"/>
      <c r="D14" s="603"/>
      <c r="E14" s="604"/>
      <c r="F14" s="1246"/>
      <c r="G14" s="1248"/>
      <c r="H14" s="1248"/>
      <c r="I14" s="1248"/>
      <c r="J14" s="1248"/>
      <c r="K14" s="1248"/>
      <c r="L14" s="1248"/>
      <c r="M14" s="1248"/>
      <c r="N14" s="1245"/>
    </row>
    <row r="15" spans="1:14" ht="15.75" customHeight="1" thickBot="1" x14ac:dyDescent="0.3">
      <c r="A15" s="1245"/>
      <c r="B15" s="592" t="s">
        <v>374</v>
      </c>
      <c r="C15" s="676"/>
      <c r="D15" s="603"/>
      <c r="E15" s="604"/>
      <c r="F15" s="1246"/>
      <c r="G15" s="2320" t="s">
        <v>410</v>
      </c>
      <c r="H15" s="2321"/>
      <c r="I15" s="2321"/>
      <c r="J15" s="2321"/>
      <c r="K15" s="2321"/>
      <c r="L15" s="2321"/>
      <c r="M15" s="2322"/>
      <c r="N15" s="1245"/>
    </row>
    <row r="16" spans="1:14" ht="15.75" customHeight="1" thickTop="1" x14ac:dyDescent="0.25">
      <c r="A16" s="1245"/>
      <c r="B16" s="592" t="s">
        <v>375</v>
      </c>
      <c r="C16" s="676"/>
      <c r="D16" s="603"/>
      <c r="E16" s="604"/>
      <c r="F16" s="1246"/>
      <c r="G16" s="1245"/>
      <c r="H16" s="1245"/>
      <c r="I16" s="1245"/>
      <c r="J16" s="1245"/>
      <c r="K16" s="1245"/>
      <c r="L16" s="1245"/>
      <c r="M16" s="1245"/>
      <c r="N16" s="1245"/>
    </row>
    <row r="17" spans="1:14" ht="15.75" customHeight="1" x14ac:dyDescent="0.25">
      <c r="A17" s="1245"/>
      <c r="B17" s="592" t="s">
        <v>377</v>
      </c>
      <c r="C17" s="676"/>
      <c r="D17" s="603"/>
      <c r="E17" s="604"/>
      <c r="F17" s="1256"/>
      <c r="G17" s="1610"/>
      <c r="H17" s="1611">
        <f t="shared" ref="H17:M17" si="1">H9</f>
        <v>2014</v>
      </c>
      <c r="I17" s="1612">
        <f t="shared" si="1"/>
        <v>2015</v>
      </c>
      <c r="J17" s="1612">
        <f t="shared" si="1"/>
        <v>2016</v>
      </c>
      <c r="K17" s="655">
        <f t="shared" si="1"/>
        <v>2017</v>
      </c>
      <c r="L17" s="664">
        <f t="shared" si="1"/>
        <v>2018</v>
      </c>
      <c r="M17" s="651">
        <f t="shared" si="1"/>
        <v>2019</v>
      </c>
      <c r="N17" s="1245"/>
    </row>
    <row r="18" spans="1:14" ht="15.75" customHeight="1" x14ac:dyDescent="0.25">
      <c r="A18" s="1245"/>
      <c r="B18" s="592" t="s">
        <v>379</v>
      </c>
      <c r="C18" s="677">
        <f>K12</f>
        <v>0</v>
      </c>
      <c r="D18" s="590">
        <f>L12</f>
        <v>0</v>
      </c>
      <c r="E18" s="591">
        <f>M12</f>
        <v>0</v>
      </c>
      <c r="F18" s="1246"/>
      <c r="G18" s="679" t="s">
        <v>269</v>
      </c>
      <c r="H18" s="1613"/>
      <c r="I18" s="1614"/>
      <c r="J18" s="1614"/>
      <c r="K18" s="1614"/>
      <c r="L18" s="680"/>
      <c r="M18" s="681"/>
      <c r="N18" s="1245"/>
    </row>
    <row r="19" spans="1:14" ht="15.75" customHeight="1" x14ac:dyDescent="0.25">
      <c r="A19" s="1245"/>
      <c r="B19" s="607" t="s">
        <v>33</v>
      </c>
      <c r="C19" s="602"/>
      <c r="D19" s="603"/>
      <c r="E19" s="678"/>
      <c r="F19" s="1246"/>
      <c r="G19" s="1615" t="s">
        <v>389</v>
      </c>
      <c r="H19" s="1616" t="e">
        <f>IF('A.1.Présentation structure'!$C$30="impôts commerciaux",('B.3.Comptes passés &amp; en cours'!C9/(('B.3.Comptes passés &amp; en cours'!I24+'B.3.Comptes passés &amp; en cours'!I25)*(1+'A.1.Présentation structure'!$C$32)))*365,(('B.3.Comptes passés &amp; en cours'!C9/('B.3.Comptes passés &amp; en cours'!I24+'B.3.Comptes passés &amp; en cours'!I25)))*365)</f>
        <v>#DIV/0!</v>
      </c>
      <c r="I19" s="1616" t="e">
        <f>IF('A.1.Présentation structure'!$C$30="impôts commerciaux",('B.3.Comptes passés &amp; en cours'!D9/(('B.3.Comptes passés &amp; en cours'!J24+'B.3.Comptes passés &amp; en cours'!J25)*(1+'A.1.Présentation structure'!$C$32)))*365,(('B.3.Comptes passés &amp; en cours'!D9/('B.3.Comptes passés &amp; en cours'!J24+'B.3.Comptes passés &amp; en cours'!J25)))*365)</f>
        <v>#DIV/0!</v>
      </c>
      <c r="J19" s="1616" t="e">
        <f>IF('A.1.Présentation structure'!$C$30="impôts commerciaux",('B.3.Comptes passés &amp; en cours'!E9/(('B.3.Comptes passés &amp; en cours'!K24+'B.3.Comptes passés &amp; en cours'!K25)*(1+'A.1.Présentation structure'!$C$32)))*365,(('B.3.Comptes passés &amp; en cours'!E9/('B.3.Comptes passés &amp; en cours'!K24+'B.3.Comptes passés &amp; en cours'!K25)))*365)</f>
        <v>#DIV/0!</v>
      </c>
      <c r="K19" s="1617">
        <v>35</v>
      </c>
      <c r="L19" s="1617">
        <v>32</v>
      </c>
      <c r="M19" s="1618">
        <v>23</v>
      </c>
      <c r="N19" s="1260"/>
    </row>
    <row r="20" spans="1:14" ht="15.75" customHeight="1" x14ac:dyDescent="0.25">
      <c r="A20" s="1249"/>
      <c r="B20" s="581" t="s">
        <v>381</v>
      </c>
      <c r="C20" s="599">
        <f>SUM(C13:C17)+C18+C19</f>
        <v>0</v>
      </c>
      <c r="D20" s="600">
        <f>SUM(D13:D17)+D18+D19</f>
        <v>0</v>
      </c>
      <c r="E20" s="601">
        <f>SUM(E13:E17)+E18+E19</f>
        <v>0</v>
      </c>
      <c r="F20" s="1246"/>
      <c r="G20" s="1619" t="s">
        <v>269</v>
      </c>
      <c r="H20" s="1620" t="e">
        <f>IF('A.1.Présentation structure'!$C$30="impôts commerciaux",('B.3.Comptes passés &amp; en cours'!C10/(('B.3.Comptes passés &amp; en cours'!I24+'B.3.Comptes passés &amp; en cours'!I25)*(1+'A.1.Présentation structure'!$C$32)))*365,(('B.3.Comptes passés &amp; en cours'!C10/('B.3.Comptes passés &amp; en cours'!I24+'B.3.Comptes passés &amp; en cours'!I25)))*365)</f>
        <v>#DIV/0!</v>
      </c>
      <c r="I20" s="1620" t="e">
        <f>IF('A.1.Présentation structure'!$C$30="impôts commerciaux",('B.3.Comptes passés &amp; en cours'!D10/(('B.3.Comptes passés &amp; en cours'!J24+'B.3.Comptes passés &amp; en cours'!J25)*(1+'A.1.Présentation structure'!$C$32)))*365,(('B.3.Comptes passés &amp; en cours'!D10/('B.3.Comptes passés &amp; en cours'!J24+'B.3.Comptes passés &amp; en cours'!J25)))*365)</f>
        <v>#DIV/0!</v>
      </c>
      <c r="J20" s="1620" t="e">
        <f>IF('A.1.Présentation structure'!$C$30="impôts commerciaux",('B.3.Comptes passés &amp; en cours'!E10/(('B.3.Comptes passés &amp; en cours'!K24+'B.3.Comptes passés &amp; en cours'!K25)*(1+'A.1.Présentation structure'!$C$32)))*365,(('B.3.Comptes passés &amp; en cours'!E10/('B.3.Comptes passés &amp; en cours'!K24+'B.3.Comptes passés &amp; en cours'!K25)))*365)</f>
        <v>#DIV/0!</v>
      </c>
      <c r="K20" s="1621">
        <v>45</v>
      </c>
      <c r="L20" s="1621">
        <v>45</v>
      </c>
      <c r="M20" s="1622">
        <v>45</v>
      </c>
      <c r="N20" s="1245"/>
    </row>
    <row r="21" spans="1:14" ht="15.75" customHeight="1" x14ac:dyDescent="0.25">
      <c r="A21" s="1245"/>
      <c r="B21" s="1258"/>
      <c r="C21" s="1609"/>
      <c r="D21" s="1609"/>
      <c r="E21" s="1609"/>
      <c r="F21" s="1245"/>
      <c r="G21" s="1623" t="s">
        <v>412</v>
      </c>
      <c r="H21" s="1624"/>
      <c r="I21" s="1624"/>
      <c r="J21" s="1624"/>
      <c r="K21" s="1624"/>
      <c r="L21" s="517"/>
      <c r="M21" s="681"/>
      <c r="N21" s="1245"/>
    </row>
    <row r="22" spans="1:14" ht="15.75" customHeight="1" x14ac:dyDescent="0.25">
      <c r="A22" s="1245"/>
      <c r="B22" s="592" t="s">
        <v>383</v>
      </c>
      <c r="C22" s="589">
        <f>C20-C11</f>
        <v>0</v>
      </c>
      <c r="D22" s="590">
        <f>D20-D11</f>
        <v>0</v>
      </c>
      <c r="E22" s="591">
        <f>E20-E11</f>
        <v>0</v>
      </c>
      <c r="F22" s="1246"/>
      <c r="G22" s="1615" t="s">
        <v>393</v>
      </c>
      <c r="H22" s="1616" t="e">
        <f>IF('A.1.Présentation structure'!$C$30="impôts commerciaux",(('B.3.Comptes passés &amp; en cours'!I11-'B.3.Comptes passés &amp; en cours'!I12-'B.3.Comptes passés &amp; en cours'!I15)/(('B.3.Comptes passés &amp; en cours'!I24+'B.3.Comptes passés &amp; en cours'!I25)*(1+'A.1.Présentation structure'!$C$32)))*365,((('B.3.Comptes passés &amp; en cours'!I11-'B.3.Comptes passés &amp; en cours'!I12-'B.3.Comptes passés &amp; en cours'!I15)/('B.3.Comptes passés &amp; en cours'!I24+'B.3.Comptes passés &amp; en cours'!I25)))*365)</f>
        <v>#DIV/0!</v>
      </c>
      <c r="I22" s="1616" t="e">
        <f>IF('A.1.Présentation structure'!$C$30="impôts commerciaux",(('B.3.Comptes passés &amp; en cours'!J11-'B.3.Comptes passés &amp; en cours'!J12-'B.3.Comptes passés &amp; en cours'!J15)/(('B.3.Comptes passés &amp; en cours'!J24+'B.3.Comptes passés &amp; en cours'!J25)*(1+'A.1.Présentation structure'!$C$32)))*365,((('B.3.Comptes passés &amp; en cours'!J11-'B.3.Comptes passés &amp; en cours'!J12-'B.3.Comptes passés &amp; en cours'!J15)/('B.3.Comptes passés &amp; en cours'!J24+'B.3.Comptes passés &amp; en cours'!J25)))*365)</f>
        <v>#DIV/0!</v>
      </c>
      <c r="J22" s="1616" t="e">
        <f>IF('A.1.Présentation structure'!$C$30="impôts commerciaux",(('B.3.Comptes passés &amp; en cours'!K11-'B.3.Comptes passés &amp; en cours'!K12-'B.3.Comptes passés &amp; en cours'!K15)/(('B.3.Comptes passés &amp; en cours'!K24+'B.3.Comptes passés &amp; en cours'!K25)*(1+'A.1.Présentation structure'!$C$32)))*365,((('B.3.Comptes passés &amp; en cours'!K11-'B.3.Comptes passés &amp; en cours'!K12-'B.3.Comptes passés &amp; en cours'!K15)/('B.3.Comptes passés &amp; en cours'!K24+'B.3.Comptes passés &amp; en cours'!K25)))*365)</f>
        <v>#DIV/0!</v>
      </c>
      <c r="K22" s="1617">
        <v>60</v>
      </c>
      <c r="L22" s="1617">
        <v>45</v>
      </c>
      <c r="M22" s="1618">
        <v>30</v>
      </c>
      <c r="N22" s="1633"/>
    </row>
    <row r="23" spans="1:14" ht="15.75" customHeight="1" x14ac:dyDescent="0.25">
      <c r="A23" s="1245"/>
      <c r="B23" s="607" t="s">
        <v>385</v>
      </c>
      <c r="C23" s="1155"/>
      <c r="D23" s="608">
        <f>C22+D22</f>
        <v>0</v>
      </c>
      <c r="E23" s="609">
        <f>D22+E22</f>
        <v>0</v>
      </c>
      <c r="F23" s="1246"/>
      <c r="G23" s="1625" t="s">
        <v>411</v>
      </c>
      <c r="H23" s="1626" t="e">
        <f>'B.3.Comptes passés &amp; en cours'!I12/SUM(IF('A.1.Présentation structure'!$C$30="Impôts commerciaux",(('B.3.Comptes passés &amp; en cours'!I24+'B.3.Comptes passés &amp; en cours'!I25)*'A.1.Présentation structure'!$C$32)-(('B.3.Comptes passés &amp; en cours'!C24+'B.3.Comptes passés &amp; en cours'!C25)*0.196)),'B.3.Comptes passés &amp; en cours'!C26,'B.3.Comptes passés &amp; en cours'!C27,'B.3.Comptes passés &amp; en cours'!C29,'B.3.Comptes passés &amp; en cours'!C36)*365</f>
        <v>#DIV/0!</v>
      </c>
      <c r="I23" s="1626" t="e">
        <f>'B.3.Comptes passés &amp; en cours'!J12/SUM(IF('A.1.Présentation structure'!$C$30="Impôts commerciaux",(('B.3.Comptes passés &amp; en cours'!J24+'B.3.Comptes passés &amp; en cours'!J25)*'A.1.Présentation structure'!$C$32)-(('B.3.Comptes passés &amp; en cours'!D24+'B.3.Comptes passés &amp; en cours'!D25)*0.196)),'B.3.Comptes passés &amp; en cours'!D26,'B.3.Comptes passés &amp; en cours'!D27,'B.3.Comptes passés &amp; en cours'!D29,'B.3.Comptes passés &amp; en cours'!D36)*365</f>
        <v>#DIV/0!</v>
      </c>
      <c r="J23" s="1626" t="e">
        <f>'B.3.Comptes passés &amp; en cours'!K12/SUM(IF('A.1.Présentation structure'!$C$30="Impôts commerciaux",(('B.3.Comptes passés &amp; en cours'!K24+'B.3.Comptes passés &amp; en cours'!K25)*'A.1.Présentation structure'!$C$32)-(('B.3.Comptes passés &amp; en cours'!E24+'B.3.Comptes passés &amp; en cours'!E25)*0.196)),'B.3.Comptes passés &amp; en cours'!E26,'B.3.Comptes passés &amp; en cours'!E27,'B.3.Comptes passés &amp; en cours'!E29,'B.3.Comptes passés &amp; en cours'!E36)*365</f>
        <v>#DIV/0!</v>
      </c>
      <c r="K23" s="1627"/>
      <c r="L23" s="1153"/>
      <c r="M23" s="1154"/>
      <c r="N23" s="1245"/>
    </row>
    <row r="24" spans="1:14" ht="15.75" customHeight="1" x14ac:dyDescent="0.25">
      <c r="A24" s="1245"/>
      <c r="B24" s="1254" t="s">
        <v>386</v>
      </c>
      <c r="C24" s="1255">
        <f>'D.10.Synthèse éco&amp;fi'!E26</f>
        <v>0</v>
      </c>
      <c r="D24" s="1246"/>
      <c r="E24" s="1246"/>
      <c r="F24" s="1245"/>
      <c r="G24" s="1628" t="s">
        <v>394</v>
      </c>
      <c r="H24" s="2344"/>
      <c r="I24" s="2347"/>
      <c r="J24" s="2347"/>
      <c r="K24" s="1629">
        <v>27</v>
      </c>
      <c r="L24" s="1629">
        <v>25</v>
      </c>
      <c r="M24" s="1630">
        <v>25</v>
      </c>
      <c r="N24" s="1260"/>
    </row>
    <row r="25" spans="1:14" ht="15.75" customHeight="1" x14ac:dyDescent="0.25">
      <c r="A25" s="1245"/>
      <c r="B25" s="1254"/>
      <c r="C25" s="1255"/>
      <c r="D25" s="1246"/>
      <c r="E25" s="1246"/>
      <c r="F25" s="1245"/>
      <c r="G25" s="1628" t="s">
        <v>395</v>
      </c>
      <c r="H25" s="2345"/>
      <c r="I25" s="2348"/>
      <c r="J25" s="2348"/>
      <c r="K25" s="1629">
        <v>55</v>
      </c>
      <c r="L25" s="1629">
        <v>55</v>
      </c>
      <c r="M25" s="1630">
        <v>60</v>
      </c>
      <c r="N25" s="1245"/>
    </row>
    <row r="26" spans="1:14" ht="15.75" customHeight="1" x14ac:dyDescent="0.25">
      <c r="A26" s="1245"/>
      <c r="B26" s="1254"/>
      <c r="C26" s="1255"/>
      <c r="D26" s="1246"/>
      <c r="E26" s="1246"/>
      <c r="F26" s="1245"/>
      <c r="G26" s="1628" t="s">
        <v>396</v>
      </c>
      <c r="H26" s="2345"/>
      <c r="I26" s="2348"/>
      <c r="J26" s="2348"/>
      <c r="K26" s="1629">
        <v>65</v>
      </c>
      <c r="L26" s="1629">
        <v>70</v>
      </c>
      <c r="M26" s="1630">
        <v>55</v>
      </c>
      <c r="N26" s="1245"/>
    </row>
    <row r="27" spans="1:14" ht="15.75" customHeight="1" x14ac:dyDescent="0.25">
      <c r="A27" s="1245"/>
      <c r="B27" s="1245"/>
      <c r="C27" s="1245"/>
      <c r="D27" s="1245"/>
      <c r="E27" s="1245"/>
      <c r="F27" s="1245"/>
      <c r="G27" s="1631" t="s">
        <v>397</v>
      </c>
      <c r="H27" s="2346"/>
      <c r="I27" s="2349"/>
      <c r="J27" s="2349"/>
      <c r="K27" s="1621">
        <v>90</v>
      </c>
      <c r="L27" s="1621">
        <v>80</v>
      </c>
      <c r="M27" s="1622">
        <v>70</v>
      </c>
      <c r="N27" s="1260"/>
    </row>
    <row r="28" spans="1:14" ht="15.75" customHeight="1" x14ac:dyDescent="0.25">
      <c r="A28" s="1245"/>
      <c r="B28" s="1245"/>
      <c r="C28" s="1245"/>
      <c r="D28" s="1245"/>
      <c r="E28" s="1245"/>
      <c r="F28" s="1245"/>
      <c r="G28" s="1258"/>
      <c r="H28" s="1258"/>
      <c r="I28" s="1258"/>
      <c r="J28" s="1258"/>
      <c r="K28" s="1258"/>
      <c r="L28" s="1258"/>
      <c r="M28" s="1258"/>
      <c r="N28" s="1245"/>
    </row>
    <row r="29" spans="1:14" ht="21" customHeight="1" thickBot="1" x14ac:dyDescent="0.3">
      <c r="A29" s="1245"/>
      <c r="B29" s="2323" t="s">
        <v>387</v>
      </c>
      <c r="C29" s="2324"/>
      <c r="D29" s="2324"/>
      <c r="E29" s="2325"/>
      <c r="F29" s="1253"/>
      <c r="G29" s="2320" t="s">
        <v>357</v>
      </c>
      <c r="H29" s="2321"/>
      <c r="I29" s="2321"/>
      <c r="J29" s="2321"/>
      <c r="K29" s="2321"/>
      <c r="L29" s="2321"/>
      <c r="M29" s="2322"/>
      <c r="N29" s="1261"/>
    </row>
    <row r="30" spans="1:14" ht="15.75" customHeight="1" thickTop="1" x14ac:dyDescent="0.25">
      <c r="A30" s="1245"/>
      <c r="B30" s="1245"/>
      <c r="C30" s="1245"/>
      <c r="D30" s="1245"/>
      <c r="E30" s="1245"/>
      <c r="F30" s="1245"/>
      <c r="G30" s="1246"/>
      <c r="H30" s="1246"/>
      <c r="I30" s="1246"/>
      <c r="J30" s="1246"/>
      <c r="K30" s="1632"/>
      <c r="L30" s="1250"/>
      <c r="M30" s="1250"/>
      <c r="N30" s="1245"/>
    </row>
    <row r="31" spans="1:14" ht="15.75" customHeight="1" x14ac:dyDescent="0.25">
      <c r="A31" s="1245"/>
      <c r="B31" s="1245"/>
      <c r="C31" s="1245"/>
      <c r="D31" s="1245"/>
      <c r="E31" s="1245"/>
      <c r="F31" s="1249"/>
      <c r="G31" s="2329" t="s">
        <v>348</v>
      </c>
      <c r="H31" s="2330"/>
      <c r="I31" s="585" t="s">
        <v>358</v>
      </c>
      <c r="J31" s="586" t="s">
        <v>359</v>
      </c>
      <c r="K31" s="586" t="s">
        <v>360</v>
      </c>
      <c r="L31" s="587" t="s">
        <v>414</v>
      </c>
      <c r="M31" s="1250"/>
      <c r="N31" s="1245"/>
    </row>
    <row r="32" spans="1:14" ht="15.75" customHeight="1" x14ac:dyDescent="0.25">
      <c r="A32" s="1245"/>
      <c r="B32" s="1250"/>
      <c r="C32" s="653">
        <f>C6</f>
        <v>2017</v>
      </c>
      <c r="D32" s="652">
        <f>D6</f>
        <v>2018</v>
      </c>
      <c r="E32" s="651">
        <f>E6</f>
        <v>2019</v>
      </c>
      <c r="F32" s="1249"/>
      <c r="G32" s="2331" t="s">
        <v>362</v>
      </c>
      <c r="H32" s="2332"/>
      <c r="I32" s="641">
        <v>2011</v>
      </c>
      <c r="J32" s="625">
        <v>2012</v>
      </c>
      <c r="K32" s="625">
        <v>2012</v>
      </c>
      <c r="L32" s="626">
        <v>2012</v>
      </c>
      <c r="M32" s="1245"/>
      <c r="N32" s="1245"/>
    </row>
    <row r="33" spans="1:14" ht="15.75" customHeight="1" x14ac:dyDescent="0.25">
      <c r="A33" s="1245"/>
      <c r="B33" s="588" t="s">
        <v>389</v>
      </c>
      <c r="C33" s="610">
        <f>('7.Budgets prévisionnels'!E7+'7.Budgets prévisionnels'!E8)/365*'12.Plan de financement'!K19</f>
        <v>0</v>
      </c>
      <c r="D33" s="659">
        <f>('7.Budgets prévisionnels'!F7+'7.Budgets prévisionnels'!F8)/365*'12.Plan de financement'!L19</f>
        <v>0</v>
      </c>
      <c r="E33" s="667">
        <f>('7.Budgets prévisionnels'!G7+'7.Budgets prévisionnels'!G8)/365*'12.Plan de financement'!M19</f>
        <v>0</v>
      </c>
      <c r="F33" s="1249"/>
      <c r="G33" s="2333" t="s">
        <v>364</v>
      </c>
      <c r="H33" s="2334"/>
      <c r="I33" s="642">
        <v>6</v>
      </c>
      <c r="J33" s="627">
        <v>2</v>
      </c>
      <c r="K33" s="627">
        <v>2</v>
      </c>
      <c r="L33" s="628">
        <v>2</v>
      </c>
      <c r="M33" s="1245"/>
      <c r="N33" s="1245"/>
    </row>
    <row r="34" spans="1:14" ht="15.75" customHeight="1" x14ac:dyDescent="0.25">
      <c r="A34" s="1245"/>
      <c r="B34" s="592" t="s">
        <v>413</v>
      </c>
      <c r="C34" s="611">
        <f>(('7.Budgets prévisionnels'!E7+'7.Budgets prévisionnels'!E8)*(1+'A.1.Présentation structure'!$C$32))/365*'12.Plan de financement'!K20</f>
        <v>0</v>
      </c>
      <c r="D34" s="660">
        <f>(('7.Budgets prévisionnels'!F7+'7.Budgets prévisionnels'!F8)*(1+'A.1.Présentation structure'!$C$32))/365*'12.Plan de financement'!L20</f>
        <v>0</v>
      </c>
      <c r="E34" s="666">
        <f>(('7.Budgets prévisionnels'!G7+'7.Budgets prévisionnels'!G8)*(1+'A.1.Présentation structure'!$C$32))/365*'12.Plan de financement'!M20</f>
        <v>0</v>
      </c>
      <c r="F34" s="1249"/>
      <c r="G34" s="2333" t="s">
        <v>354</v>
      </c>
      <c r="H34" s="2334"/>
      <c r="I34" s="643"/>
      <c r="J34" s="629"/>
      <c r="K34" s="629"/>
      <c r="L34" s="630"/>
      <c r="M34" s="1245"/>
      <c r="N34" s="1245"/>
    </row>
    <row r="35" spans="1:14" ht="15.75" customHeight="1" x14ac:dyDescent="0.25">
      <c r="A35" s="1245"/>
      <c r="B35" s="592" t="s">
        <v>390</v>
      </c>
      <c r="C35" s="612"/>
      <c r="D35" s="613"/>
      <c r="E35" s="614"/>
      <c r="F35" s="1249"/>
      <c r="G35" s="2333" t="s">
        <v>367</v>
      </c>
      <c r="H35" s="2334"/>
      <c r="I35" s="644">
        <v>0.04</v>
      </c>
      <c r="J35" s="631">
        <v>0.04</v>
      </c>
      <c r="K35" s="631">
        <v>0.04</v>
      </c>
      <c r="L35" s="632">
        <v>0.04</v>
      </c>
      <c r="M35" s="1245"/>
      <c r="N35" s="1245"/>
    </row>
    <row r="36" spans="1:14" ht="15.75" customHeight="1" x14ac:dyDescent="0.25">
      <c r="A36" s="1245"/>
      <c r="B36" s="592" t="s">
        <v>391</v>
      </c>
      <c r="C36" s="612"/>
      <c r="D36" s="613"/>
      <c r="E36" s="614"/>
      <c r="F36" s="1249"/>
      <c r="G36" s="2333" t="s">
        <v>369</v>
      </c>
      <c r="H36" s="2334"/>
      <c r="I36" s="645">
        <v>12</v>
      </c>
      <c r="J36" s="636">
        <v>12</v>
      </c>
      <c r="K36" s="636">
        <v>12</v>
      </c>
      <c r="L36" s="637">
        <v>12</v>
      </c>
      <c r="M36" s="1245"/>
      <c r="N36" s="1245"/>
    </row>
    <row r="37" spans="1:14" ht="15.75" customHeight="1" x14ac:dyDescent="0.25">
      <c r="A37" s="1245"/>
      <c r="B37" s="58" t="s">
        <v>392</v>
      </c>
      <c r="C37" s="615">
        <f>SUM(C33:C36)</f>
        <v>0</v>
      </c>
      <c r="D37" s="616">
        <f>SUM(D33:D36)</f>
        <v>0</v>
      </c>
      <c r="E37" s="617">
        <f>SUM(E33:E36)</f>
        <v>0</v>
      </c>
      <c r="F37" s="1249"/>
      <c r="G37" s="2333" t="s">
        <v>370</v>
      </c>
      <c r="H37" s="2334"/>
      <c r="I37" s="642">
        <v>48</v>
      </c>
      <c r="J37" s="627">
        <v>48</v>
      </c>
      <c r="K37" s="627">
        <v>24</v>
      </c>
      <c r="L37" s="628">
        <v>24</v>
      </c>
      <c r="M37" s="1245"/>
      <c r="N37" s="1245"/>
    </row>
    <row r="38" spans="1:14" ht="15.75" customHeight="1" x14ac:dyDescent="0.25">
      <c r="A38" s="1245"/>
      <c r="B38" s="1250"/>
      <c r="C38" s="1266"/>
      <c r="D38" s="1266"/>
      <c r="E38" s="1266"/>
      <c r="F38" s="1249"/>
      <c r="G38" s="2326" t="s">
        <v>372</v>
      </c>
      <c r="H38" s="2327"/>
      <c r="I38" s="646">
        <v>6</v>
      </c>
      <c r="J38" s="605">
        <v>1</v>
      </c>
      <c r="K38" s="605">
        <v>1</v>
      </c>
      <c r="L38" s="606">
        <v>1</v>
      </c>
      <c r="M38" s="1245"/>
      <c r="N38" s="1245"/>
    </row>
    <row r="39" spans="1:14" ht="15.75" customHeight="1" x14ac:dyDescent="0.25">
      <c r="A39" s="1245"/>
      <c r="B39" s="1250"/>
      <c r="C39" s="653">
        <f>C32</f>
        <v>2017</v>
      </c>
      <c r="D39" s="655">
        <f>D32</f>
        <v>2018</v>
      </c>
      <c r="E39" s="654">
        <f>E32</f>
        <v>2019</v>
      </c>
      <c r="F39" s="1245"/>
      <c r="G39" s="1257"/>
      <c r="H39" s="1245"/>
      <c r="I39" s="1257"/>
      <c r="J39" s="1257"/>
      <c r="K39" s="1257"/>
      <c r="L39" s="1257"/>
      <c r="M39" s="1245"/>
      <c r="N39" s="1245"/>
    </row>
    <row r="40" spans="1:14" ht="15.75" customHeight="1" x14ac:dyDescent="0.25">
      <c r="A40" s="1245"/>
      <c r="B40" s="618" t="s">
        <v>393</v>
      </c>
      <c r="C40" s="610">
        <f>('7.Budgets prévisionnels'!E7+'7.Budgets prévisionnels'!E8)/365*'12.Plan de financement'!K22</f>
        <v>0</v>
      </c>
      <c r="D40" s="659">
        <f>('7.Budgets prévisionnels'!F7+'7.Budgets prévisionnels'!F8)/365*'12.Plan de financement'!L19</f>
        <v>0</v>
      </c>
      <c r="E40" s="657">
        <f>('7.Budgets prévisionnels'!G7+'7.Budgets prévisionnels'!G8)/365*'12.Plan de financement'!M19</f>
        <v>0</v>
      </c>
      <c r="F40" s="1245"/>
      <c r="G40" s="2331" t="s">
        <v>376</v>
      </c>
      <c r="H40" s="2332"/>
      <c r="I40" s="703">
        <f>IF(I33&gt;I38,I34*((((1+I35)^((I33-I38)/I36))-1)/(((1+I35)^((I37-I38)/I36))-1)),0)</f>
        <v>0</v>
      </c>
      <c r="J40" s="704">
        <f>IF(J33&gt;J38,J34*((((1+J35)^((J33-J38)/J36))-1)/(((1+J35)^((J37-J38)/J36))-1)),0)</f>
        <v>0</v>
      </c>
      <c r="K40" s="704">
        <f>IF(K33&gt;K38,K34*((((1+K35)^((K33-K38)/K36))-1)/(((1+K35)^((K37-K38)/K36))-1)),0)</f>
        <v>0</v>
      </c>
      <c r="L40" s="705">
        <f>IF(L33&gt;L38,L34*((((1+L35)^((L33-L38)/L36))-1)/(((1+L35)^((L37-L38)/L36))-1)),0)</f>
        <v>0</v>
      </c>
      <c r="M40" s="1245"/>
      <c r="N40" s="1245"/>
    </row>
    <row r="41" spans="1:14" ht="15.75" customHeight="1" x14ac:dyDescent="0.25">
      <c r="A41" s="1245"/>
      <c r="B41" s="619" t="s">
        <v>394</v>
      </c>
      <c r="C41" s="620">
        <f>'7.Budgets prévisionnels'!E25/365*'12.Plan de financement'!K24</f>
        <v>0</v>
      </c>
      <c r="D41" s="658">
        <f>'7.Budgets prévisionnels'!F25/365*'12.Plan de financement'!L24</f>
        <v>0</v>
      </c>
      <c r="E41" s="656">
        <f>'7.Budgets prévisionnels'!G25/365*'12.Plan de financement'!M24</f>
        <v>0</v>
      </c>
      <c r="F41" s="1245"/>
      <c r="G41" s="2333" t="s">
        <v>378</v>
      </c>
      <c r="H41" s="2334"/>
      <c r="I41" s="699">
        <f>IF(I33+I36&lt;=I38,0,IF((I33+I36&lt;=I37),I34*((((1+I35)^((I33+I36-I38)/I36)))-1)/(((1+I35)^((I37-I38)/I36)-1))-I40,I34-I40))</f>
        <v>0</v>
      </c>
      <c r="J41" s="696">
        <f>IF(J33+J36&lt;=J38,0,IF((J33+J36&lt;=J37),J34*((((1+J35)^((J33+J36-J38)/J36)))-1)/(((1+J35)^((J37-J38)/J36)-1))-J40,J34-J40))</f>
        <v>0</v>
      </c>
      <c r="K41" s="696">
        <f>IF(K33+K36&lt;=K38,0,IF((K33+K36&lt;=K37),K34*((((1+K35)^((K33+K36-K38)/K36)))-1)/(((1+K35)^((K37-K38)/K36)-1))-K40,K34-K40))</f>
        <v>0</v>
      </c>
      <c r="L41" s="697">
        <f>IF(L33+L36&lt;=L38,0,IF((L33+L36&lt;=L37),L34*((((1+L35)^((L33+L36-L38)/L36)))-1)/(((1+L35)^((L37-L38)/L36)-1))-L40,L34-L40))</f>
        <v>0</v>
      </c>
      <c r="M41" s="1245"/>
      <c r="N41" s="1245"/>
    </row>
    <row r="42" spans="1:14" ht="15.75" customHeight="1" x14ac:dyDescent="0.25">
      <c r="A42" s="1245"/>
      <c r="B42" s="619" t="s">
        <v>395</v>
      </c>
      <c r="C42" s="620">
        <f>'7.Budgets prévisionnels'!E27/365*'12.Plan de financement'!K25</f>
        <v>0</v>
      </c>
      <c r="D42" s="658">
        <f>'7.Budgets prévisionnels'!F27/365*'12.Plan de financement'!L25</f>
        <v>0</v>
      </c>
      <c r="E42" s="656">
        <f>'7.Budgets prévisionnels'!G27/365*'12.Plan de financement'!M25</f>
        <v>0</v>
      </c>
      <c r="F42" s="1245"/>
      <c r="G42" s="2326" t="s">
        <v>380</v>
      </c>
      <c r="H42" s="2327"/>
      <c r="I42" s="706">
        <f>IF(I33+I36+I36&lt;=I38,0,IF((I33+I36+I36&lt;=I37),I34*((((1+I35)^((I33+I36+I36-I38)/I36)))-1)/(((1+I35)^((I37-I38)/I36)-1))-I40-I41,I34-I40-I41))</f>
        <v>0</v>
      </c>
      <c r="J42" s="707">
        <f>IF(J33+J36+J36&lt;=J38,0,IF((J33+J36+J36&lt;=J37),J34*((((1+J35)^((J33+J36+J36-J38)/J36)))-1)/(((1+J35)^((J37-J38)/J36)-1))-J40-J41,J34-J40-J41))</f>
        <v>0</v>
      </c>
      <c r="K42" s="707">
        <f>IF(K33+K36+K36&lt;=K38,0,IF((K33+K36+K36&lt;=K37),K34*((((1+K35)^((K33+K36+K36-K38)/K36)))-1)/(((1+K35)^((K37-K38)/K36)-1))-K40-K41,K34-K40-K41))</f>
        <v>0</v>
      </c>
      <c r="L42" s="708">
        <f>IF(L33+L36+L36&lt;=L38,0,IF((L33+L36+L36&lt;=L37),L34*((((1+L35)^((L33+L36+L36-L38)/L36)))-1)/(((1+L35)^((L37-L38)/L36)-1))-L40-L41,L34-L40-L41))</f>
        <v>0</v>
      </c>
      <c r="M42" s="1245"/>
      <c r="N42" s="1245"/>
    </row>
    <row r="43" spans="1:14" ht="15.75" customHeight="1" x14ac:dyDescent="0.25">
      <c r="A43" s="1245"/>
      <c r="B43" s="619" t="s">
        <v>396</v>
      </c>
      <c r="C43" s="620">
        <f>IF('A.1.Présentation structure'!$C$30="impôts commerciaux",((('7.Budgets prévisionnels'!E7+'7.Budgets prévisionnels'!E8)*'A.1.Présentation structure'!$C$32)-SUM('7.Budgets prévisionnels'!E22+'7.Budgets prévisionnels'!E23)*0.196)/365*'12.Plan de financement'!K26,0)</f>
        <v>0</v>
      </c>
      <c r="D43" s="658">
        <f>IF('A.1.Présentation structure'!$C$30="impôts commerciaux",((('7.Budgets prévisionnels'!F7+'7.Budgets prévisionnels'!F8)*'A.1.Présentation structure'!$C$32)-SUM('7.Budgets prévisionnels'!F22+'7.Budgets prévisionnels'!F23)*0.196)/365*'12.Plan de financement'!L26,0)</f>
        <v>0</v>
      </c>
      <c r="E43" s="665">
        <f>IF('A.1.Présentation structure'!$C$30="impôts commerciaux",((('7.Budgets prévisionnels'!G7+'7.Budgets prévisionnels'!G8)*'A.1.Présentation structure'!$C$32)-SUM('7.Budgets prévisionnels'!G22+'7.Budgets prévisionnels'!G23)*0.196)/365*'12.Plan de financement'!M26,0)</f>
        <v>0</v>
      </c>
      <c r="F43" s="1245"/>
      <c r="G43" s="1251"/>
      <c r="H43" s="1245"/>
      <c r="I43" s="1252"/>
      <c r="J43" s="1252"/>
      <c r="K43" s="1252"/>
      <c r="L43" s="1245"/>
      <c r="M43" s="1245"/>
      <c r="N43" s="1245"/>
    </row>
    <row r="44" spans="1:14" ht="15.75" customHeight="1" x14ac:dyDescent="0.25">
      <c r="A44" s="1245"/>
      <c r="B44" s="619" t="s">
        <v>397</v>
      </c>
      <c r="C44" s="620">
        <f>SUM('7.Budgets prévisionnels'!E24,'7.Budgets prévisionnels'!E35)/365*K27</f>
        <v>0</v>
      </c>
      <c r="D44" s="658">
        <f>SUM('7.Budgets prévisionnels'!F24,'7.Budgets prévisionnels'!F35)/365*L27</f>
        <v>0</v>
      </c>
      <c r="E44" s="665">
        <f>SUM('7.Budgets prévisionnels'!G24,'7.Budgets prévisionnels'!G35)/365*M27</f>
        <v>0</v>
      </c>
      <c r="F44" s="1246"/>
      <c r="G44" s="1251"/>
      <c r="H44" s="1245"/>
      <c r="I44" s="1252"/>
      <c r="J44" s="1252"/>
      <c r="K44" s="1252"/>
      <c r="L44" s="1245"/>
      <c r="M44" s="1245"/>
      <c r="N44" s="1245"/>
    </row>
    <row r="45" spans="1:14" ht="15.75" customHeight="1" x14ac:dyDescent="0.25">
      <c r="A45" s="1245"/>
      <c r="B45" s="61" t="s">
        <v>398</v>
      </c>
      <c r="C45" s="611">
        <f>SUM(C41:C44)</f>
        <v>0</v>
      </c>
      <c r="D45" s="660">
        <f t="shared" ref="D45:E45" si="2">SUM(D41:D44)</f>
        <v>0</v>
      </c>
      <c r="E45" s="666">
        <f t="shared" si="2"/>
        <v>0</v>
      </c>
      <c r="F45" s="1246"/>
      <c r="G45" s="2354" t="s">
        <v>382</v>
      </c>
      <c r="H45" s="2355"/>
      <c r="I45" s="694">
        <f>C6</f>
        <v>2017</v>
      </c>
      <c r="J45" s="633">
        <f>D6</f>
        <v>2018</v>
      </c>
      <c r="K45" s="1387">
        <f>E6</f>
        <v>2019</v>
      </c>
      <c r="L45" s="1245"/>
      <c r="M45" s="1245"/>
      <c r="N45" s="1245"/>
    </row>
    <row r="46" spans="1:14" ht="15.75" customHeight="1" x14ac:dyDescent="0.25">
      <c r="A46" s="1245"/>
      <c r="B46" s="61" t="s">
        <v>399</v>
      </c>
      <c r="C46" s="621"/>
      <c r="D46" s="661"/>
      <c r="E46" s="622"/>
      <c r="F46" s="1246"/>
      <c r="G46" s="2356" t="s">
        <v>384</v>
      </c>
      <c r="H46" s="2357"/>
      <c r="I46" s="647"/>
      <c r="J46" s="638"/>
      <c r="K46" s="639"/>
      <c r="L46" s="1245"/>
      <c r="M46" s="1245"/>
      <c r="N46" s="1245"/>
    </row>
    <row r="47" spans="1:14" ht="15.75" customHeight="1" x14ac:dyDescent="0.25">
      <c r="A47" s="1245"/>
      <c r="B47" s="61" t="s">
        <v>400</v>
      </c>
      <c r="C47" s="663"/>
      <c r="D47" s="662"/>
      <c r="E47" s="622"/>
      <c r="F47" s="1246"/>
      <c r="G47" s="2352" t="str">
        <f>I31</f>
        <v>P1</v>
      </c>
      <c r="H47" s="2353"/>
      <c r="I47" s="695">
        <f>IF(I32=I45,I40,0)</f>
        <v>0</v>
      </c>
      <c r="J47" s="696">
        <f>IF(J45=I32,I40,IF(I32=I45,I41,0))</f>
        <v>0</v>
      </c>
      <c r="K47" s="697">
        <f>IF(I32=K45,I40,IF(I32=J45,I41,IF(I32=I45,I42,0)))</f>
        <v>0</v>
      </c>
      <c r="L47" s="1245"/>
      <c r="M47" s="1245"/>
      <c r="N47" s="1245"/>
    </row>
    <row r="48" spans="1:14" ht="15.75" customHeight="1" x14ac:dyDescent="0.25">
      <c r="A48" s="1245"/>
      <c r="B48" s="1386" t="s">
        <v>401</v>
      </c>
      <c r="C48" s="615">
        <f>SUM(C40:C47)-C45</f>
        <v>0</v>
      </c>
      <c r="D48" s="623">
        <f>SUM(D40:D47)-D45</f>
        <v>0</v>
      </c>
      <c r="E48" s="617">
        <f>SUM(E40:E47)-E45</f>
        <v>0</v>
      </c>
      <c r="F48" s="1246"/>
      <c r="G48" s="2352" t="str">
        <f>J31</f>
        <v>P2</v>
      </c>
      <c r="H48" s="2353"/>
      <c r="I48" s="698">
        <f>IF(I45=J32,J40,0)</f>
        <v>0</v>
      </c>
      <c r="J48" s="696">
        <f>IF(J32=I45,J41,IF(J32=J45,J40,0))</f>
        <v>0</v>
      </c>
      <c r="K48" s="697">
        <f>IF(K45=J32,J40,IF(J32=J45,J41,IF(J32=I45,J42,0)))</f>
        <v>0</v>
      </c>
      <c r="L48" s="1245"/>
      <c r="M48" s="1245"/>
      <c r="N48" s="1245"/>
    </row>
    <row r="49" spans="1:17" ht="15.75" customHeight="1" x14ac:dyDescent="0.25">
      <c r="A49" s="1245"/>
      <c r="B49" s="1257"/>
      <c r="C49" s="1264"/>
      <c r="D49" s="1265"/>
      <c r="E49" s="1257"/>
      <c r="F49" s="1246"/>
      <c r="G49" s="2352" t="str">
        <f>K31</f>
        <v>P3</v>
      </c>
      <c r="H49" s="2353"/>
      <c r="I49" s="699">
        <f>IF(I45=K32,K40,0)</f>
        <v>0</v>
      </c>
      <c r="J49" s="696">
        <f>IF(J45=K32,K40,IF(K32=I45,K41,0))</f>
        <v>0</v>
      </c>
      <c r="K49" s="697">
        <f>IF(K32=K45,K40,IF(K32=J45,K41,IF(K32=I45,K42,0)))</f>
        <v>0</v>
      </c>
      <c r="L49" s="1245"/>
      <c r="M49" s="1245"/>
      <c r="N49" s="1245"/>
    </row>
    <row r="50" spans="1:17" ht="15.75" customHeight="1" x14ac:dyDescent="0.25">
      <c r="A50" s="1245"/>
      <c r="B50" s="624" t="s">
        <v>402</v>
      </c>
      <c r="C50" s="668">
        <f>C37-C48</f>
        <v>0</v>
      </c>
      <c r="D50" s="668">
        <f>D37-D48</f>
        <v>0</v>
      </c>
      <c r="E50" s="669">
        <f>E37-E48</f>
        <v>0</v>
      </c>
      <c r="F50" s="1246"/>
      <c r="G50" s="2350" t="s">
        <v>414</v>
      </c>
      <c r="H50" s="2351"/>
      <c r="I50" s="699">
        <f>IF(I46=L33,L41,0)</f>
        <v>0</v>
      </c>
      <c r="J50" s="696">
        <f>IF(J46=L33,L41,IF(L33=I46,L42,0))</f>
        <v>0</v>
      </c>
      <c r="K50" s="697">
        <f>IF(K33=L46,L41,IF(L33=J46,L42,IF(L33=I46,L43,0)))</f>
        <v>0</v>
      </c>
      <c r="L50" s="1245"/>
      <c r="M50" s="1245"/>
      <c r="N50" s="1245"/>
    </row>
    <row r="51" spans="1:17" ht="15.75" customHeight="1" x14ac:dyDescent="0.25">
      <c r="A51" s="1245"/>
      <c r="B51" s="607" t="s">
        <v>403</v>
      </c>
      <c r="C51" s="670">
        <f>'D.10.Synthèse éco&amp;fi'!E25</f>
        <v>0</v>
      </c>
      <c r="D51" s="670">
        <f>C50</f>
        <v>0</v>
      </c>
      <c r="E51" s="674">
        <f>D50</f>
        <v>0</v>
      </c>
      <c r="F51" s="1246"/>
      <c r="G51" s="2350" t="s">
        <v>388</v>
      </c>
      <c r="H51" s="2351"/>
      <c r="I51" s="700">
        <f>SUM(I46:I50)</f>
        <v>0</v>
      </c>
      <c r="J51" s="701">
        <f>SUM(J46:J50)</f>
        <v>0</v>
      </c>
      <c r="K51" s="702">
        <f>SUM(K46:K50)</f>
        <v>0</v>
      </c>
      <c r="L51" s="1245"/>
      <c r="M51" s="1245"/>
      <c r="N51" s="1245"/>
    </row>
    <row r="52" spans="1:17" ht="15.75" customHeight="1" x14ac:dyDescent="0.25">
      <c r="A52" s="1245"/>
      <c r="B52" s="581" t="s">
        <v>404</v>
      </c>
      <c r="C52" s="671">
        <f>C50-C51</f>
        <v>0</v>
      </c>
      <c r="D52" s="672">
        <f>D50-D51</f>
        <v>0</v>
      </c>
      <c r="E52" s="673">
        <f>E50-E51</f>
        <v>0</v>
      </c>
      <c r="F52" s="1246"/>
      <c r="G52" s="1245"/>
      <c r="H52" s="1245"/>
      <c r="I52" s="1245"/>
      <c r="J52" s="1245"/>
      <c r="K52" s="1245"/>
      <c r="L52" s="1245"/>
      <c r="M52" s="1245"/>
      <c r="N52" s="1245"/>
    </row>
    <row r="53" spans="1:17" ht="15.75" customHeight="1" x14ac:dyDescent="0.25">
      <c r="A53" s="1246"/>
      <c r="B53" s="1248"/>
      <c r="C53" s="1248"/>
      <c r="D53" s="1248"/>
      <c r="E53" s="1248"/>
      <c r="F53" s="1247"/>
      <c r="G53" s="1248"/>
      <c r="H53" s="1248"/>
      <c r="I53" s="1248"/>
      <c r="J53" s="1248"/>
      <c r="K53" s="1248"/>
      <c r="L53" s="1248"/>
      <c r="M53" s="1248"/>
      <c r="N53" s="1245"/>
    </row>
    <row r="54" spans="1:17" ht="15.75" customHeight="1" x14ac:dyDescent="0.25">
      <c r="A54" s="1245"/>
      <c r="B54" s="2338" t="s">
        <v>311</v>
      </c>
      <c r="C54" s="2339"/>
      <c r="D54" s="2339"/>
      <c r="E54" s="2339"/>
      <c r="F54" s="2339"/>
      <c r="G54" s="2339"/>
      <c r="H54" s="2339"/>
      <c r="I54" s="2339"/>
      <c r="J54" s="2339"/>
      <c r="K54" s="2339"/>
      <c r="L54" s="2339"/>
      <c r="M54" s="2340"/>
      <c r="N54" s="1262"/>
      <c r="O54" s="709"/>
      <c r="P54" s="709"/>
      <c r="Q54" s="582"/>
    </row>
    <row r="55" spans="1:17" ht="15.75" customHeight="1" x14ac:dyDescent="0.25">
      <c r="A55" s="1250"/>
      <c r="B55" s="2110"/>
      <c r="C55" s="2022"/>
      <c r="D55" s="2022"/>
      <c r="E55" s="2022"/>
      <c r="F55" s="2022"/>
      <c r="G55" s="2022"/>
      <c r="H55" s="2022"/>
      <c r="I55" s="2022"/>
      <c r="J55" s="2022"/>
      <c r="K55" s="2022"/>
      <c r="L55" s="2022"/>
      <c r="M55" s="2341"/>
      <c r="N55" s="1263"/>
      <c r="O55" s="640"/>
      <c r="P55" s="640"/>
      <c r="Q55" s="582"/>
    </row>
    <row r="56" spans="1:17" ht="15.75" customHeight="1" x14ac:dyDescent="0.25">
      <c r="A56" s="1250"/>
      <c r="B56" s="2110"/>
      <c r="C56" s="2022"/>
      <c r="D56" s="2022"/>
      <c r="E56" s="2022"/>
      <c r="F56" s="2022"/>
      <c r="G56" s="2022"/>
      <c r="H56" s="2022"/>
      <c r="I56" s="2022"/>
      <c r="J56" s="2022"/>
      <c r="K56" s="2022"/>
      <c r="L56" s="2022"/>
      <c r="M56" s="2341"/>
      <c r="N56" s="1263"/>
      <c r="O56" s="640"/>
      <c r="P56" s="640"/>
      <c r="Q56" s="582"/>
    </row>
    <row r="57" spans="1:17" ht="12.75" customHeight="1" x14ac:dyDescent="0.25">
      <c r="A57" s="1250"/>
      <c r="B57" s="2110"/>
      <c r="C57" s="2022"/>
      <c r="D57" s="2022"/>
      <c r="E57" s="2022"/>
      <c r="F57" s="2022"/>
      <c r="G57" s="2022"/>
      <c r="H57" s="2022"/>
      <c r="I57" s="2022"/>
      <c r="J57" s="2022"/>
      <c r="K57" s="2022"/>
      <c r="L57" s="2022"/>
      <c r="M57" s="2341"/>
      <c r="N57" s="1263"/>
      <c r="O57" s="640"/>
      <c r="P57" s="640"/>
      <c r="Q57" s="582"/>
    </row>
    <row r="58" spans="1:17" ht="12.75" customHeight="1" x14ac:dyDescent="0.25">
      <c r="A58" s="1250"/>
      <c r="B58" s="2110"/>
      <c r="C58" s="2022"/>
      <c r="D58" s="2022"/>
      <c r="E58" s="2022"/>
      <c r="F58" s="2022"/>
      <c r="G58" s="2022"/>
      <c r="H58" s="2022"/>
      <c r="I58" s="2022"/>
      <c r="J58" s="2022"/>
      <c r="K58" s="2022"/>
      <c r="L58" s="2022"/>
      <c r="M58" s="2341"/>
      <c r="N58" s="1263"/>
      <c r="O58" s="640"/>
      <c r="P58" s="640"/>
      <c r="Q58" s="582"/>
    </row>
    <row r="59" spans="1:17" ht="12.75" customHeight="1" x14ac:dyDescent="0.25">
      <c r="A59" s="1250"/>
      <c r="B59" s="2110"/>
      <c r="C59" s="2022"/>
      <c r="D59" s="2022"/>
      <c r="E59" s="2022"/>
      <c r="F59" s="2022"/>
      <c r="G59" s="2022"/>
      <c r="H59" s="2022"/>
      <c r="I59" s="2022"/>
      <c r="J59" s="2022"/>
      <c r="K59" s="2022"/>
      <c r="L59" s="2022"/>
      <c r="M59" s="2341"/>
      <c r="N59" s="1263"/>
      <c r="O59" s="640"/>
      <c r="P59" s="640"/>
      <c r="Q59" s="582"/>
    </row>
    <row r="60" spans="1:17" ht="12.75" customHeight="1" x14ac:dyDescent="0.25">
      <c r="A60" s="1250"/>
      <c r="B60" s="2110"/>
      <c r="C60" s="2022"/>
      <c r="D60" s="2022"/>
      <c r="E60" s="2022"/>
      <c r="F60" s="2022"/>
      <c r="G60" s="2022"/>
      <c r="H60" s="2022"/>
      <c r="I60" s="2022"/>
      <c r="J60" s="2022"/>
      <c r="K60" s="2022"/>
      <c r="L60" s="2022"/>
      <c r="M60" s="2341"/>
      <c r="N60" s="1263"/>
      <c r="O60" s="640"/>
      <c r="P60" s="640"/>
      <c r="Q60" s="582"/>
    </row>
    <row r="61" spans="1:17" ht="12.75" customHeight="1" x14ac:dyDescent="0.25">
      <c r="A61" s="1250"/>
      <c r="B61" s="2110"/>
      <c r="C61" s="2022"/>
      <c r="D61" s="2022"/>
      <c r="E61" s="2022"/>
      <c r="F61" s="2022"/>
      <c r="G61" s="2022"/>
      <c r="H61" s="2022"/>
      <c r="I61" s="2022"/>
      <c r="J61" s="2022"/>
      <c r="K61" s="2022"/>
      <c r="L61" s="2022"/>
      <c r="M61" s="2341"/>
      <c r="N61" s="1263"/>
      <c r="O61" s="640"/>
      <c r="P61" s="640"/>
      <c r="Q61" s="582"/>
    </row>
    <row r="62" spans="1:17" ht="13.5" customHeight="1" thickBot="1" x14ac:dyDescent="0.3">
      <c r="A62" s="1245"/>
      <c r="B62" s="2342"/>
      <c r="C62" s="2141"/>
      <c r="D62" s="2141"/>
      <c r="E62" s="2141"/>
      <c r="F62" s="2141"/>
      <c r="G62" s="2141"/>
      <c r="H62" s="2141"/>
      <c r="I62" s="2141"/>
      <c r="J62" s="2141"/>
      <c r="K62" s="2141"/>
      <c r="L62" s="2141"/>
      <c r="M62" s="2343"/>
      <c r="N62" s="1263"/>
      <c r="O62" s="640"/>
      <c r="P62" s="640"/>
      <c r="Q62" s="582"/>
    </row>
    <row r="63" spans="1:17" x14ac:dyDescent="0.25">
      <c r="A63" s="1245"/>
      <c r="B63" s="1246"/>
      <c r="C63" s="1246"/>
      <c r="D63" s="1246"/>
      <c r="E63" s="1246"/>
      <c r="F63" s="1246"/>
      <c r="G63" s="1245"/>
      <c r="H63" s="1245"/>
      <c r="I63" s="1245"/>
      <c r="J63" s="1245"/>
      <c r="K63" s="1245"/>
      <c r="L63" s="1245"/>
      <c r="M63" s="1245"/>
      <c r="N63" s="1250"/>
      <c r="O63" s="582"/>
      <c r="P63" s="582"/>
      <c r="Q63" s="582"/>
    </row>
    <row r="64" spans="1:17" x14ac:dyDescent="0.25">
      <c r="A64" s="1245"/>
      <c r="B64" s="1246"/>
      <c r="C64" s="1246"/>
      <c r="D64" s="1246"/>
      <c r="E64" s="1246"/>
      <c r="F64" s="1246"/>
      <c r="G64" s="1245"/>
      <c r="H64" s="1245"/>
      <c r="I64" s="1245"/>
      <c r="J64" s="1245"/>
      <c r="K64" s="1245"/>
      <c r="L64" s="1245"/>
      <c r="M64" s="1245"/>
      <c r="N64" s="1245"/>
    </row>
    <row r="65" spans="2:6" x14ac:dyDescent="0.25">
      <c r="B65" s="85"/>
      <c r="C65" s="85"/>
      <c r="D65" s="85"/>
      <c r="E65" s="85"/>
      <c r="F65" s="85"/>
    </row>
    <row r="66" spans="2:6" x14ac:dyDescent="0.25">
      <c r="B66" s="85"/>
      <c r="C66" s="85"/>
      <c r="D66" s="85"/>
      <c r="E66" s="85"/>
      <c r="F66" s="85"/>
    </row>
    <row r="67" spans="2:6" x14ac:dyDescent="0.25">
      <c r="B67" s="85"/>
      <c r="C67" s="85"/>
      <c r="D67" s="85"/>
      <c r="E67" s="85"/>
      <c r="F67" s="85"/>
    </row>
    <row r="68" spans="2:6" x14ac:dyDescent="0.25">
      <c r="B68" s="85"/>
      <c r="C68" s="85"/>
      <c r="D68" s="85"/>
      <c r="E68" s="85"/>
      <c r="F68" s="85"/>
    </row>
    <row r="69" spans="2:6" x14ac:dyDescent="0.25">
      <c r="B69" s="85"/>
      <c r="C69" s="85"/>
      <c r="D69" s="85"/>
      <c r="E69" s="85"/>
      <c r="F69" s="85"/>
    </row>
    <row r="70" spans="2:6" x14ac:dyDescent="0.25">
      <c r="B70" s="85"/>
      <c r="C70" s="85"/>
      <c r="D70" s="85"/>
      <c r="E70" s="85"/>
      <c r="F70" s="85"/>
    </row>
    <row r="71" spans="2:6" x14ac:dyDescent="0.25">
      <c r="B71" s="85"/>
      <c r="C71" s="85"/>
      <c r="D71" s="85"/>
      <c r="E71" s="85"/>
      <c r="F71" s="85"/>
    </row>
    <row r="72" spans="2:6" x14ac:dyDescent="0.25">
      <c r="B72" s="85"/>
      <c r="C72" s="85"/>
      <c r="D72" s="85"/>
      <c r="E72" s="85"/>
      <c r="F72" s="85"/>
    </row>
  </sheetData>
  <sheetProtection password="CC57" sheet="1" objects="1" scenarios="1"/>
  <protectedRanges>
    <protectedRange sqref="B55:K62" name="Plage3"/>
    <protectedRange sqref="H11:M11 K19:M20 K22:M22 K24:M27 I32:L38 I46:K46" name="Plage2"/>
    <protectedRange sqref="C13:E17 C19:E19 C35:E36 C46:E47" name="Plage1"/>
  </protectedRanges>
  <mergeCells count="30">
    <mergeCell ref="B54:M54"/>
    <mergeCell ref="B55:M62"/>
    <mergeCell ref="H24:H27"/>
    <mergeCell ref="I24:I27"/>
    <mergeCell ref="J24:J27"/>
    <mergeCell ref="G50:H50"/>
    <mergeCell ref="G51:H51"/>
    <mergeCell ref="G40:H40"/>
    <mergeCell ref="G41:H41"/>
    <mergeCell ref="G42:H42"/>
    <mergeCell ref="G47:H47"/>
    <mergeCell ref="G48:H48"/>
    <mergeCell ref="G49:H49"/>
    <mergeCell ref="G45:H45"/>
    <mergeCell ref="G46:H46"/>
    <mergeCell ref="G2:M2"/>
    <mergeCell ref="G29:M29"/>
    <mergeCell ref="B2:E2"/>
    <mergeCell ref="B29:E29"/>
    <mergeCell ref="G38:H38"/>
    <mergeCell ref="G7:M7"/>
    <mergeCell ref="G15:M15"/>
    <mergeCell ref="G31:H31"/>
    <mergeCell ref="G32:H32"/>
    <mergeCell ref="G33:H33"/>
    <mergeCell ref="G34:H34"/>
    <mergeCell ref="G35:H35"/>
    <mergeCell ref="G36:H36"/>
    <mergeCell ref="G37:H37"/>
    <mergeCell ref="B4:M4"/>
  </mergeCells>
  <pageMargins left="0.7" right="0.7" top="0.75" bottom="0.75" header="0.3" footer="0.3"/>
  <pageSetup paperSize="9" scale="44"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AA11"/>
  <sheetViews>
    <sheetView topLeftCell="P1" workbookViewId="0">
      <selection activeCell="AA1" sqref="AA1:AA1048576"/>
    </sheetView>
  </sheetViews>
  <sheetFormatPr baseColWidth="10" defaultRowHeight="15" x14ac:dyDescent="0.25"/>
  <cols>
    <col min="1" max="1" width="23.140625" bestFit="1" customWidth="1"/>
    <col min="2" max="2" width="1.5703125" customWidth="1"/>
    <col min="3" max="3" width="18.7109375" bestFit="1" customWidth="1"/>
    <col min="4" max="4" width="1.5703125" customWidth="1"/>
    <col min="5" max="5" width="15.85546875" customWidth="1"/>
    <col min="6" max="6" width="16.42578125" customWidth="1"/>
    <col min="7" max="7" width="25" bestFit="1" customWidth="1"/>
    <col min="26" max="26" width="13" bestFit="1" customWidth="1"/>
    <col min="27" max="27" width="11.42578125" hidden="1" customWidth="1"/>
  </cols>
  <sheetData>
    <row r="1" spans="1:27" x14ac:dyDescent="0.25">
      <c r="A1" s="1671" t="s">
        <v>555</v>
      </c>
      <c r="B1" s="1672"/>
      <c r="C1" s="1672"/>
      <c r="D1" s="1672"/>
      <c r="E1" s="1672"/>
      <c r="G1" s="1673" t="s">
        <v>556</v>
      </c>
      <c r="I1" s="1385"/>
      <c r="Z1" s="1695" t="s">
        <v>557</v>
      </c>
      <c r="AA1">
        <v>2512</v>
      </c>
    </row>
    <row r="2" spans="1:27" x14ac:dyDescent="0.25">
      <c r="A2" s="1674" t="s">
        <v>558</v>
      </c>
      <c r="B2" s="1674"/>
      <c r="C2" s="1674" t="s">
        <v>559</v>
      </c>
      <c r="E2" s="1675" t="s">
        <v>560</v>
      </c>
      <c r="F2" s="1674"/>
      <c r="G2" t="s">
        <v>565</v>
      </c>
      <c r="Z2" s="1695" t="s">
        <v>561</v>
      </c>
      <c r="AA2">
        <v>3013</v>
      </c>
    </row>
    <row r="3" spans="1:27" x14ac:dyDescent="0.25">
      <c r="A3" s="1385" t="s">
        <v>486</v>
      </c>
      <c r="C3" t="s">
        <v>587</v>
      </c>
      <c r="E3" t="s">
        <v>562</v>
      </c>
    </row>
    <row r="4" spans="1:27" x14ac:dyDescent="0.25">
      <c r="A4" s="1385" t="s">
        <v>487</v>
      </c>
      <c r="E4" t="s">
        <v>563</v>
      </c>
    </row>
    <row r="5" spans="1:27" x14ac:dyDescent="0.25">
      <c r="A5" s="1385" t="s">
        <v>488</v>
      </c>
      <c r="E5" t="s">
        <v>564</v>
      </c>
    </row>
    <row r="6" spans="1:27" x14ac:dyDescent="0.25">
      <c r="A6" s="1385" t="s">
        <v>489</v>
      </c>
    </row>
    <row r="7" spans="1:27" x14ac:dyDescent="0.25">
      <c r="A7" s="1385" t="s">
        <v>490</v>
      </c>
    </row>
    <row r="8" spans="1:27" x14ac:dyDescent="0.25">
      <c r="A8" s="1385" t="s">
        <v>491</v>
      </c>
    </row>
    <row r="9" spans="1:27" x14ac:dyDescent="0.25">
      <c r="A9" s="1385" t="s">
        <v>492</v>
      </c>
    </row>
    <row r="10" spans="1:27" x14ac:dyDescent="0.25">
      <c r="A10" t="s">
        <v>588</v>
      </c>
    </row>
    <row r="11" spans="1:27" x14ac:dyDescent="0.25">
      <c r="A11" t="s">
        <v>485</v>
      </c>
    </row>
  </sheetData>
  <sheetProtection password="CC57" sheet="1" objects="1" scenarios="1"/>
  <pageMargins left="0.7" right="0.7" top="0.75" bottom="0.75" header="0.3" footer="0.3"/>
  <pageSetup paperSize="9" orientation="portrait" horizontalDpi="120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9"/>
  <sheetViews>
    <sheetView workbookViewId="0">
      <selection activeCell="A13" sqref="A13"/>
    </sheetView>
  </sheetViews>
  <sheetFormatPr baseColWidth="10" defaultRowHeight="15" x14ac:dyDescent="0.25"/>
  <cols>
    <col min="1" max="1" width="51.42578125" bestFit="1" customWidth="1"/>
  </cols>
  <sheetData>
    <row r="1" spans="1:1" x14ac:dyDescent="0.25">
      <c r="A1" t="s">
        <v>570</v>
      </c>
    </row>
    <row r="3" spans="1:1" x14ac:dyDescent="0.25">
      <c r="A3" t="s">
        <v>571</v>
      </c>
    </row>
    <row r="4" spans="1:1" x14ac:dyDescent="0.25">
      <c r="A4" t="s">
        <v>572</v>
      </c>
    </row>
    <row r="6" spans="1:1" x14ac:dyDescent="0.25">
      <c r="A6" t="s">
        <v>573</v>
      </c>
    </row>
    <row r="8" spans="1:1" x14ac:dyDescent="0.25">
      <c r="A8" t="s">
        <v>594</v>
      </c>
    </row>
    <row r="9" spans="1:1" x14ac:dyDescent="0.25">
      <c r="A9" t="s">
        <v>595</v>
      </c>
    </row>
  </sheetData>
  <sheetProtection password="D1CD"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pageSetUpPr fitToPage="1"/>
  </sheetPr>
  <dimension ref="A5:I70"/>
  <sheetViews>
    <sheetView showGridLines="0" zoomScaleNormal="100" zoomScaleSheetLayoutView="100" workbookViewId="0">
      <selection activeCell="N15" sqref="N15"/>
    </sheetView>
  </sheetViews>
  <sheetFormatPr baseColWidth="10" defaultColWidth="10.85546875" defaultRowHeight="12.75" x14ac:dyDescent="0.25"/>
  <cols>
    <col min="1" max="1" width="3.5703125" style="15" customWidth="1"/>
    <col min="2" max="2" width="4.7109375" style="15" customWidth="1"/>
    <col min="3" max="8" width="10.85546875" style="15"/>
    <col min="9" max="9" width="28.42578125" style="15" customWidth="1"/>
    <col min="10" max="16384" width="10.85546875" style="15"/>
  </cols>
  <sheetData>
    <row r="5" spans="1:9" ht="18" x14ac:dyDescent="0.25">
      <c r="A5" s="1040"/>
      <c r="B5" s="1040"/>
      <c r="C5" s="1040"/>
    </row>
    <row r="7" spans="1:9" ht="23.25" customHeight="1" thickBot="1" x14ac:dyDescent="0.3">
      <c r="A7" s="1933" t="s">
        <v>48</v>
      </c>
      <c r="B7" s="1933"/>
      <c r="C7" s="1933"/>
      <c r="D7" s="1933"/>
      <c r="E7" s="1933"/>
      <c r="F7" s="1933"/>
      <c r="G7" s="1933"/>
      <c r="H7" s="1933"/>
      <c r="I7" s="1934"/>
    </row>
    <row r="8" spans="1:9" x14ac:dyDescent="0.25">
      <c r="A8" s="120"/>
      <c r="B8" s="120"/>
      <c r="C8" s="120"/>
      <c r="D8" s="120"/>
      <c r="E8" s="120"/>
      <c r="F8" s="120"/>
      <c r="G8" s="120"/>
      <c r="H8" s="120"/>
      <c r="I8" s="120"/>
    </row>
    <row r="9" spans="1:9" x14ac:dyDescent="0.25">
      <c r="A9" s="121"/>
      <c r="B9" s="121"/>
      <c r="C9" s="121"/>
    </row>
    <row r="10" spans="1:9" ht="16.5" thickBot="1" x14ac:dyDescent="0.3">
      <c r="A10" s="1935" t="s">
        <v>255</v>
      </c>
      <c r="B10" s="1936"/>
      <c r="C10" s="1936"/>
      <c r="D10" s="1937"/>
      <c r="E10" s="1937"/>
      <c r="F10" s="1937"/>
      <c r="G10" s="1937"/>
      <c r="H10" s="1937"/>
      <c r="I10" s="1938"/>
    </row>
    <row r="12" spans="1:9" ht="12.75" customHeight="1" x14ac:dyDescent="0.25">
      <c r="A12" s="1939" t="s">
        <v>589</v>
      </c>
      <c r="B12" s="1939"/>
      <c r="C12" s="1939"/>
      <c r="D12" s="1939"/>
      <c r="E12" s="1939"/>
      <c r="F12" s="1939"/>
      <c r="G12" s="1939"/>
      <c r="H12" s="1939"/>
      <c r="I12" s="1939"/>
    </row>
    <row r="13" spans="1:9" x14ac:dyDescent="0.25">
      <c r="A13" s="1939"/>
      <c r="B13" s="1939"/>
      <c r="C13" s="1939"/>
      <c r="D13" s="1939"/>
      <c r="E13" s="1939"/>
      <c r="F13" s="1939"/>
      <c r="G13" s="1939"/>
      <c r="H13" s="1939"/>
      <c r="I13" s="1939"/>
    </row>
    <row r="15" spans="1:9" ht="16.5" customHeight="1" thickBot="1" x14ac:dyDescent="0.3">
      <c r="A15" s="1935" t="s">
        <v>281</v>
      </c>
      <c r="B15" s="1936"/>
      <c r="C15" s="1936"/>
      <c r="D15" s="1936"/>
      <c r="E15" s="1936"/>
      <c r="F15" s="1936"/>
      <c r="G15" s="1936"/>
      <c r="H15" s="1936"/>
      <c r="I15" s="1940"/>
    </row>
    <row r="17" spans="1:9" ht="43.5" customHeight="1" x14ac:dyDescent="0.25">
      <c r="A17" s="1922" t="s">
        <v>112</v>
      </c>
      <c r="B17" s="1922"/>
      <c r="C17" s="1922"/>
      <c r="D17" s="1922"/>
      <c r="E17" s="1922"/>
      <c r="F17" s="1922"/>
      <c r="G17" s="1922"/>
      <c r="H17" s="1922"/>
      <c r="I17" s="1922"/>
    </row>
    <row r="18" spans="1:9" x14ac:dyDescent="0.25">
      <c r="A18" s="101"/>
      <c r="B18" s="101"/>
      <c r="C18" s="101"/>
      <c r="D18" s="101"/>
      <c r="E18" s="101"/>
      <c r="F18" s="101"/>
      <c r="G18" s="101"/>
      <c r="H18" s="101"/>
      <c r="I18" s="101"/>
    </row>
    <row r="19" spans="1:9" ht="13.5" customHeight="1" x14ac:dyDescent="0.25">
      <c r="A19" s="101" t="s">
        <v>37</v>
      </c>
      <c r="B19" s="101"/>
      <c r="C19" s="101"/>
      <c r="D19" s="101"/>
      <c r="E19" s="101"/>
      <c r="F19" s="101"/>
      <c r="G19" s="101"/>
      <c r="H19" s="101"/>
      <c r="I19" s="101"/>
    </row>
    <row r="20" spans="1:9" ht="13.5" customHeight="1" x14ac:dyDescent="0.25">
      <c r="A20" s="1939" t="s">
        <v>458</v>
      </c>
      <c r="B20" s="1939"/>
      <c r="C20" s="1939"/>
      <c r="D20" s="1939"/>
      <c r="E20" s="1939"/>
      <c r="F20" s="1939"/>
      <c r="G20" s="1939"/>
      <c r="H20" s="1939"/>
      <c r="I20" s="1939"/>
    </row>
    <row r="21" spans="1:9" ht="13.5" customHeight="1" x14ac:dyDescent="0.25">
      <c r="A21" s="1939"/>
      <c r="B21" s="1939"/>
      <c r="C21" s="1939"/>
      <c r="D21" s="1939"/>
      <c r="E21" s="1939"/>
      <c r="F21" s="1939"/>
      <c r="G21" s="1939"/>
      <c r="H21" s="1939"/>
      <c r="I21" s="1939"/>
    </row>
    <row r="22" spans="1:9" ht="13.5" customHeight="1" x14ac:dyDescent="0.25">
      <c r="A22" s="1922" t="s">
        <v>481</v>
      </c>
      <c r="B22" s="1922"/>
      <c r="C22" s="1922"/>
      <c r="D22" s="1922"/>
      <c r="E22" s="1922"/>
      <c r="F22" s="1922"/>
      <c r="G22" s="1922"/>
      <c r="H22" s="1922"/>
      <c r="I22" s="1922"/>
    </row>
    <row r="23" spans="1:9" ht="13.5" customHeight="1" x14ac:dyDescent="0.25">
      <c r="A23" s="101" t="s">
        <v>459</v>
      </c>
      <c r="B23" s="101"/>
      <c r="C23" s="101"/>
      <c r="D23" s="101"/>
      <c r="E23" s="101"/>
      <c r="F23" s="101"/>
      <c r="G23" s="101"/>
      <c r="H23" s="101"/>
      <c r="I23" s="101"/>
    </row>
    <row r="24" spans="1:9" ht="13.5" customHeight="1" x14ac:dyDescent="0.25">
      <c r="A24" s="101"/>
      <c r="B24" s="101"/>
      <c r="C24" s="101"/>
      <c r="D24" s="101"/>
      <c r="E24" s="101"/>
      <c r="F24" s="101"/>
      <c r="G24" s="101"/>
      <c r="H24" s="101"/>
      <c r="I24" s="101"/>
    </row>
    <row r="25" spans="1:9" ht="13.5" customHeight="1" x14ac:dyDescent="0.25">
      <c r="A25" s="1923" t="s">
        <v>40</v>
      </c>
      <c r="B25" s="1923"/>
      <c r="C25" s="1923"/>
      <c r="D25" s="1923"/>
      <c r="E25" s="1923"/>
      <c r="F25" s="1923"/>
      <c r="G25" s="1923"/>
      <c r="H25" s="1923"/>
      <c r="I25" s="1923"/>
    </row>
    <row r="26" spans="1:9" ht="13.5" customHeight="1" x14ac:dyDescent="0.25">
      <c r="A26" s="1158"/>
      <c r="B26" s="1641"/>
      <c r="C26" s="1158"/>
      <c r="D26" s="1158"/>
      <c r="E26" s="1158"/>
      <c r="F26" s="1158"/>
      <c r="G26" s="1158"/>
      <c r="H26" s="1158"/>
      <c r="I26" s="1158"/>
    </row>
    <row r="27" spans="1:9" ht="13.5" customHeight="1" x14ac:dyDescent="0.25">
      <c r="A27" s="1927" t="s">
        <v>469</v>
      </c>
      <c r="B27" s="1927"/>
      <c r="C27" s="1927"/>
      <c r="D27" s="1927"/>
      <c r="E27" s="1927"/>
      <c r="F27" s="1927"/>
      <c r="G27" s="1158"/>
      <c r="H27" s="1158"/>
      <c r="I27" s="1158"/>
    </row>
    <row r="28" spans="1:9" ht="6" customHeight="1" x14ac:dyDescent="0.25">
      <c r="A28" s="1125"/>
      <c r="B28" s="1125"/>
      <c r="C28" s="1125"/>
      <c r="D28" s="1125"/>
      <c r="E28" s="1125"/>
      <c r="F28" s="1125"/>
      <c r="G28" s="1125"/>
      <c r="H28" s="1125"/>
      <c r="I28" s="1125"/>
    </row>
    <row r="29" spans="1:9" x14ac:dyDescent="0.25">
      <c r="A29" s="1930"/>
      <c r="B29" s="1931"/>
      <c r="C29" s="1932"/>
      <c r="D29" s="1707" t="s">
        <v>574</v>
      </c>
      <c r="E29" s="1125"/>
      <c r="F29" s="1125"/>
      <c r="G29" s="1125"/>
      <c r="H29" s="1125"/>
      <c r="I29" s="1125"/>
    </row>
    <row r="30" spans="1:9" x14ac:dyDescent="0.25">
      <c r="A30" s="1928"/>
      <c r="B30" s="1928"/>
      <c r="C30" s="1929"/>
      <c r="D30" s="101" t="s">
        <v>480</v>
      </c>
      <c r="E30" s="1125"/>
      <c r="F30" s="1125"/>
      <c r="G30" s="1125"/>
      <c r="H30" s="1125"/>
      <c r="I30" s="1125"/>
    </row>
    <row r="31" spans="1:9" x14ac:dyDescent="0.25">
      <c r="A31" s="1924"/>
      <c r="B31" s="1925"/>
      <c r="C31" s="1926"/>
      <c r="D31" s="101" t="s">
        <v>483</v>
      </c>
      <c r="E31" s="1125"/>
      <c r="F31" s="1125"/>
      <c r="G31" s="1125"/>
      <c r="H31" s="1125"/>
      <c r="I31" s="1125"/>
    </row>
    <row r="32" spans="1:9" x14ac:dyDescent="0.25">
      <c r="A32" s="1941"/>
      <c r="B32" s="1942"/>
      <c r="C32" s="1943"/>
      <c r="D32" s="194" t="s">
        <v>484</v>
      </c>
      <c r="E32" s="1125"/>
      <c r="F32" s="1125"/>
      <c r="G32" s="1125"/>
      <c r="H32" s="1125"/>
      <c r="I32" s="1125"/>
    </row>
    <row r="33" spans="1:9" x14ac:dyDescent="0.25">
      <c r="A33" s="1372"/>
      <c r="B33" s="1372"/>
      <c r="C33" s="1372"/>
      <c r="D33" s="194"/>
      <c r="E33" s="1125"/>
      <c r="F33" s="1125"/>
      <c r="G33" s="1125"/>
      <c r="H33" s="1125"/>
      <c r="I33" s="1125"/>
    </row>
    <row r="34" spans="1:9" x14ac:dyDescent="0.25">
      <c r="A34" s="1372"/>
      <c r="B34" s="1372"/>
      <c r="C34" s="1372"/>
      <c r="D34" s="351"/>
      <c r="E34" s="1125"/>
      <c r="F34" s="1125"/>
      <c r="G34" s="1125"/>
      <c r="H34" s="1125"/>
      <c r="I34" s="1125"/>
    </row>
    <row r="35" spans="1:9" ht="16.5" customHeight="1" thickBot="1" x14ac:dyDescent="0.3">
      <c r="A35" s="1935" t="s">
        <v>545</v>
      </c>
      <c r="B35" s="1936"/>
      <c r="C35" s="1936"/>
      <c r="D35" s="1936"/>
      <c r="E35" s="1936"/>
      <c r="F35" s="1936"/>
      <c r="G35" s="1936"/>
      <c r="H35" s="1936"/>
      <c r="I35" s="1940"/>
    </row>
    <row r="36" spans="1:9" ht="16.5" customHeight="1" x14ac:dyDescent="0.25">
      <c r="A36" s="1372"/>
      <c r="B36" s="1372"/>
      <c r="C36" s="1372"/>
      <c r="D36" s="1372"/>
      <c r="E36" s="351"/>
      <c r="F36" s="1125"/>
      <c r="G36" s="1125"/>
      <c r="H36" s="1125"/>
      <c r="I36" s="1125"/>
    </row>
    <row r="37" spans="1:9" ht="22.5" customHeight="1" x14ac:dyDescent="0.25">
      <c r="A37" s="1944" t="s">
        <v>590</v>
      </c>
      <c r="B37" s="1944"/>
      <c r="C37" s="1944"/>
      <c r="D37" s="1944"/>
      <c r="E37" s="1944"/>
      <c r="F37" s="1944"/>
      <c r="G37" s="1944"/>
      <c r="H37" s="1944"/>
      <c r="I37" s="1944"/>
    </row>
    <row r="38" spans="1:9" ht="22.5" customHeight="1" x14ac:dyDescent="0.25">
      <c r="A38" s="1645"/>
      <c r="B38" s="1697" t="s">
        <v>554</v>
      </c>
      <c r="C38" s="1949" t="s">
        <v>599</v>
      </c>
      <c r="D38" s="1949"/>
      <c r="E38" s="1949"/>
      <c r="F38" s="1949"/>
      <c r="G38" s="1949"/>
      <c r="H38" s="1949"/>
      <c r="I38" s="1949"/>
    </row>
    <row r="39" spans="1:9" s="1696" customFormat="1" ht="22.5" customHeight="1" x14ac:dyDescent="0.25">
      <c r="B39" s="1697"/>
      <c r="C39" s="1950" t="s">
        <v>575</v>
      </c>
      <c r="D39" s="1950"/>
      <c r="E39" s="1950"/>
      <c r="F39" s="1950"/>
      <c r="G39" s="1950"/>
      <c r="H39" s="1950"/>
      <c r="I39" s="1950"/>
    </row>
    <row r="40" spans="1:9" ht="15" customHeight="1" x14ac:dyDescent="0.25">
      <c r="A40" s="1669"/>
      <c r="B40" s="1669"/>
      <c r="C40" s="1706"/>
      <c r="D40" s="1706"/>
      <c r="E40" s="1706"/>
      <c r="F40" s="1706"/>
      <c r="G40" s="1706"/>
      <c r="H40" s="1706"/>
      <c r="I40" s="1706"/>
    </row>
    <row r="41" spans="1:9" ht="12.75" customHeight="1" x14ac:dyDescent="0.25">
      <c r="A41" s="117"/>
      <c r="B41" s="117"/>
      <c r="C41" s="117"/>
      <c r="D41" s="117"/>
      <c r="E41" s="117"/>
      <c r="F41" s="117"/>
      <c r="G41" s="117"/>
      <c r="H41" s="117"/>
      <c r="I41" s="117"/>
    </row>
    <row r="42" spans="1:9" ht="16.5" customHeight="1" thickBot="1" x14ac:dyDescent="0.3">
      <c r="A42" s="1935" t="s">
        <v>482</v>
      </c>
      <c r="B42" s="1936"/>
      <c r="C42" s="1936"/>
      <c r="D42" s="1936"/>
      <c r="E42" s="1936"/>
      <c r="F42" s="1936"/>
      <c r="G42" s="1936"/>
      <c r="H42" s="1936"/>
      <c r="I42" s="1940"/>
    </row>
    <row r="43" spans="1:9" x14ac:dyDescent="0.25">
      <c r="A43" s="101"/>
      <c r="B43" s="101"/>
      <c r="C43" s="101"/>
      <c r="D43" s="101"/>
      <c r="E43" s="1667"/>
      <c r="F43" s="1125"/>
      <c r="G43" s="1125"/>
      <c r="H43" s="1125"/>
      <c r="I43" s="1125"/>
    </row>
    <row r="44" spans="1:9" ht="25.5" customHeight="1" x14ac:dyDescent="0.25">
      <c r="A44" s="1698" t="str">
        <f>IF(ChoixVerC="x",1,"A")</f>
        <v>A</v>
      </c>
      <c r="B44" s="268"/>
      <c r="C44" s="1709" t="s">
        <v>586</v>
      </c>
      <c r="D44" s="1708"/>
      <c r="E44" s="1668"/>
      <c r="F44" s="1126"/>
      <c r="G44" s="1126"/>
      <c r="H44" s="1126"/>
      <c r="I44" s="1126"/>
    </row>
    <row r="45" spans="1:9" ht="25.5" hidden="1" customHeight="1" x14ac:dyDescent="0.25">
      <c r="A45" s="1698" t="s">
        <v>546</v>
      </c>
      <c r="B45" s="268"/>
      <c r="C45" s="1710" t="s">
        <v>576</v>
      </c>
      <c r="D45" s="1708"/>
      <c r="E45" s="1668"/>
      <c r="F45" s="1126"/>
      <c r="G45" s="1126"/>
      <c r="H45" s="1126"/>
      <c r="I45" s="1126"/>
    </row>
    <row r="46" spans="1:9" ht="25.5" customHeight="1" x14ac:dyDescent="0.25">
      <c r="A46" s="1698" t="str">
        <f>IF($A$44=1,3,"B")</f>
        <v>B</v>
      </c>
      <c r="B46" s="268"/>
      <c r="C46" s="1710" t="s">
        <v>577</v>
      </c>
      <c r="D46" s="1708"/>
      <c r="E46" s="1668"/>
      <c r="F46" s="1126"/>
      <c r="G46" s="1126"/>
      <c r="H46" s="1126"/>
      <c r="I46" s="1126"/>
    </row>
    <row r="47" spans="1:9" ht="25.5" customHeight="1" x14ac:dyDescent="0.25">
      <c r="A47" s="1698" t="str">
        <f>IF($A$44=1,4,"C")</f>
        <v>C</v>
      </c>
      <c r="B47" s="268"/>
      <c r="C47" s="1710" t="s">
        <v>578</v>
      </c>
      <c r="D47" s="1708"/>
      <c r="E47" s="1668"/>
      <c r="F47" s="1126"/>
      <c r="G47" s="1126"/>
      <c r="H47" s="1126"/>
      <c r="I47" s="1126"/>
    </row>
    <row r="48" spans="1:9" ht="25.5" hidden="1" customHeight="1" x14ac:dyDescent="0.25">
      <c r="A48" s="1698" t="s">
        <v>547</v>
      </c>
      <c r="B48" s="268"/>
      <c r="C48" s="1710" t="s">
        <v>579</v>
      </c>
      <c r="D48" s="1708"/>
      <c r="E48" s="1668"/>
      <c r="F48" s="1126"/>
      <c r="G48" s="1126"/>
      <c r="H48" s="1126"/>
      <c r="I48" s="1126"/>
    </row>
    <row r="49" spans="1:9" ht="25.5" hidden="1" customHeight="1" x14ac:dyDescent="0.25">
      <c r="A49" s="1698" t="s">
        <v>548</v>
      </c>
      <c r="B49" s="268"/>
      <c r="C49" s="1710" t="s">
        <v>580</v>
      </c>
      <c r="D49" s="1708"/>
      <c r="E49" s="1668"/>
      <c r="F49" s="1126"/>
      <c r="G49" s="1126"/>
      <c r="H49" s="1126"/>
      <c r="I49" s="1126"/>
    </row>
    <row r="50" spans="1:9" ht="25.5" hidden="1" customHeight="1" x14ac:dyDescent="0.25">
      <c r="A50" s="1698" t="s">
        <v>549</v>
      </c>
      <c r="B50" s="268"/>
      <c r="C50" s="1710" t="s">
        <v>581</v>
      </c>
      <c r="D50" s="1710"/>
      <c r="E50" s="1667"/>
    </row>
    <row r="51" spans="1:9" ht="25.5" hidden="1" customHeight="1" x14ac:dyDescent="0.25">
      <c r="A51" s="1698" t="s">
        <v>550</v>
      </c>
      <c r="B51" s="268"/>
      <c r="C51" s="1710" t="s">
        <v>582</v>
      </c>
      <c r="D51" s="1710"/>
      <c r="E51" s="1667"/>
    </row>
    <row r="52" spans="1:9" ht="25.5" hidden="1" customHeight="1" x14ac:dyDescent="0.25">
      <c r="A52" s="1698" t="s">
        <v>551</v>
      </c>
      <c r="B52" s="268"/>
      <c r="C52" s="1710" t="s">
        <v>583</v>
      </c>
      <c r="D52" s="1710"/>
      <c r="E52" s="1667"/>
    </row>
    <row r="53" spans="1:9" ht="25.5" customHeight="1" x14ac:dyDescent="0.25">
      <c r="A53" s="1698" t="str">
        <f>IF($A$44=1,10,"D")</f>
        <v>D</v>
      </c>
      <c r="B53" s="268"/>
      <c r="C53" s="1710" t="s">
        <v>584</v>
      </c>
      <c r="D53" s="1710"/>
      <c r="E53" s="1667"/>
    </row>
    <row r="54" spans="1:9" ht="25.5" hidden="1" customHeight="1" x14ac:dyDescent="0.25">
      <c r="A54" s="1698" t="s">
        <v>552</v>
      </c>
      <c r="B54" s="268"/>
      <c r="C54" s="1710" t="s">
        <v>585</v>
      </c>
      <c r="D54" s="1710"/>
      <c r="E54" s="1667"/>
    </row>
    <row r="55" spans="1:9" ht="25.5" hidden="1" customHeight="1" x14ac:dyDescent="0.25">
      <c r="A55" s="1698" t="s">
        <v>553</v>
      </c>
      <c r="B55" s="268"/>
      <c r="C55" s="1710" t="s">
        <v>405</v>
      </c>
      <c r="D55" s="1710"/>
      <c r="E55" s="1667"/>
    </row>
    <row r="56" spans="1:9" x14ac:dyDescent="0.25">
      <c r="A56" s="118"/>
      <c r="B56" s="118"/>
      <c r="C56" s="101"/>
      <c r="D56" s="101"/>
      <c r="E56" s="1667"/>
    </row>
    <row r="57" spans="1:9" x14ac:dyDescent="0.25">
      <c r="A57" s="101"/>
      <c r="B57" s="101"/>
      <c r="C57" s="101"/>
      <c r="D57" s="101"/>
      <c r="E57" s="1667"/>
    </row>
    <row r="59" spans="1:9" ht="15.75" thickBot="1" x14ac:dyDescent="0.3">
      <c r="A59" s="1945" t="s">
        <v>593</v>
      </c>
      <c r="B59" s="1946"/>
      <c r="C59" s="1946"/>
      <c r="D59" s="1946"/>
      <c r="E59" s="1946"/>
      <c r="F59" s="1946"/>
      <c r="G59" s="1946"/>
      <c r="H59" s="1946"/>
      <c r="I59" s="1947"/>
    </row>
    <row r="61" spans="1:9" ht="269.25" customHeight="1" x14ac:dyDescent="0.25">
      <c r="A61" s="1948" t="s">
        <v>592</v>
      </c>
      <c r="B61" s="1948"/>
      <c r="C61" s="1948"/>
      <c r="D61" s="1948"/>
      <c r="E61" s="1948"/>
      <c r="F61" s="1948"/>
      <c r="G61" s="1948"/>
      <c r="H61" s="1948"/>
      <c r="I61" s="1948"/>
    </row>
    <row r="62" spans="1:9" x14ac:dyDescent="0.25">
      <c r="B62" s="1919"/>
      <c r="C62" s="1919"/>
      <c r="D62" s="1919"/>
      <c r="E62" s="1919"/>
      <c r="F62" s="1919"/>
      <c r="G62" s="1919"/>
      <c r="H62" s="1919"/>
      <c r="I62" s="1919"/>
    </row>
    <row r="63" spans="1:9" x14ac:dyDescent="0.25">
      <c r="B63" s="1919"/>
      <c r="C63" s="1919"/>
      <c r="D63" s="1919"/>
      <c r="E63" s="1919"/>
      <c r="F63" s="1919"/>
      <c r="G63" s="1919"/>
      <c r="H63" s="1919"/>
      <c r="I63" s="1919"/>
    </row>
    <row r="64" spans="1:9" x14ac:dyDescent="0.25">
      <c r="B64" s="1919"/>
      <c r="C64" s="1919"/>
      <c r="D64" s="1919"/>
      <c r="E64" s="1919"/>
      <c r="F64" s="1919"/>
      <c r="G64" s="1919"/>
      <c r="H64" s="1919"/>
      <c r="I64" s="1919"/>
    </row>
    <row r="65" spans="2:9" x14ac:dyDescent="0.25">
      <c r="B65" s="1919"/>
      <c r="C65" s="1919"/>
      <c r="D65" s="1919"/>
      <c r="E65" s="1919"/>
      <c r="F65" s="1919"/>
      <c r="G65" s="1919"/>
      <c r="H65" s="1919"/>
      <c r="I65" s="1919"/>
    </row>
    <row r="66" spans="2:9" x14ac:dyDescent="0.25">
      <c r="B66" s="1919"/>
      <c r="C66" s="1919"/>
      <c r="D66" s="1919"/>
      <c r="E66" s="1919"/>
      <c r="F66" s="1919"/>
      <c r="G66" s="1919"/>
      <c r="H66" s="1919"/>
      <c r="I66" s="1919"/>
    </row>
    <row r="67" spans="2:9" x14ac:dyDescent="0.25">
      <c r="B67" s="1919"/>
      <c r="C67" s="1919"/>
      <c r="D67" s="1919"/>
      <c r="E67" s="1919"/>
      <c r="F67" s="1919"/>
      <c r="G67" s="1919"/>
      <c r="H67" s="1919"/>
      <c r="I67" s="1919"/>
    </row>
    <row r="68" spans="2:9" x14ac:dyDescent="0.25">
      <c r="B68" s="1919"/>
      <c r="C68" s="1919"/>
      <c r="D68" s="1919"/>
      <c r="E68" s="1919"/>
      <c r="F68" s="1919"/>
      <c r="G68" s="1919"/>
      <c r="H68" s="1919"/>
      <c r="I68" s="1919"/>
    </row>
    <row r="69" spans="2:9" x14ac:dyDescent="0.25">
      <c r="B69" s="1919"/>
      <c r="C69" s="1919"/>
      <c r="D69" s="1919"/>
      <c r="E69" s="1919"/>
      <c r="F69" s="1919"/>
      <c r="G69" s="1919"/>
      <c r="H69" s="1919"/>
      <c r="I69" s="1919"/>
    </row>
    <row r="70" spans="2:9" x14ac:dyDescent="0.25">
      <c r="B70" s="1919"/>
      <c r="C70" s="1919"/>
      <c r="D70" s="1919"/>
      <c r="E70" s="1919"/>
      <c r="F70" s="1919"/>
      <c r="G70" s="1919"/>
      <c r="H70" s="1919"/>
      <c r="I70" s="1919"/>
    </row>
  </sheetData>
  <sheetProtection password="CC57" sheet="1" objects="1" scenarios="1"/>
  <mergeCells count="20">
    <mergeCell ref="A32:C32"/>
    <mergeCell ref="A37:I37"/>
    <mergeCell ref="A59:I59"/>
    <mergeCell ref="A61:I61"/>
    <mergeCell ref="A42:I42"/>
    <mergeCell ref="A35:I35"/>
    <mergeCell ref="C38:I38"/>
    <mergeCell ref="C39:I39"/>
    <mergeCell ref="A7:I7"/>
    <mergeCell ref="A17:I17"/>
    <mergeCell ref="A10:I10"/>
    <mergeCell ref="A20:I21"/>
    <mergeCell ref="A15:I15"/>
    <mergeCell ref="A12:I13"/>
    <mergeCell ref="A22:I22"/>
    <mergeCell ref="A25:I25"/>
    <mergeCell ref="A31:C31"/>
    <mergeCell ref="A27:F27"/>
    <mergeCell ref="A30:C30"/>
    <mergeCell ref="A29:C29"/>
  </mergeCells>
  <phoneticPr fontId="50" type="noConversion"/>
  <printOptions horizontalCentered="1"/>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enableFormatConditionsCalculation="0">
    <pageSetUpPr fitToPage="1"/>
  </sheetPr>
  <dimension ref="A1:D53"/>
  <sheetViews>
    <sheetView showGridLines="0" tabSelected="1" topLeftCell="A4" zoomScaleNormal="100" zoomScaleSheetLayoutView="100" workbookViewId="0">
      <selection activeCell="C27" sqref="C27"/>
    </sheetView>
  </sheetViews>
  <sheetFormatPr baseColWidth="10" defaultColWidth="10.85546875" defaultRowHeight="12.75" x14ac:dyDescent="0.25"/>
  <cols>
    <col min="1" max="1" width="2.7109375" style="15" customWidth="1"/>
    <col min="2" max="2" width="40.7109375" style="15" customWidth="1"/>
    <col min="3" max="3" width="21.5703125" style="15" customWidth="1"/>
    <col min="4" max="4" width="21.7109375" style="117" customWidth="1"/>
    <col min="5" max="16384" width="10.85546875" style="15"/>
  </cols>
  <sheetData>
    <row r="1" spans="1:4" ht="23.25" customHeight="1" thickBot="1" x14ac:dyDescent="0.3">
      <c r="A1" s="1964" t="s">
        <v>47</v>
      </c>
      <c r="B1" s="1965"/>
      <c r="C1" s="1965"/>
      <c r="D1" s="1966"/>
    </row>
    <row r="2" spans="1:4" ht="15.75" customHeight="1" thickTop="1" x14ac:dyDescent="0.25">
      <c r="A2" s="115"/>
      <c r="B2" s="115"/>
      <c r="C2" s="115"/>
      <c r="D2" s="115"/>
    </row>
    <row r="3" spans="1:4" ht="15.75" customHeight="1" x14ac:dyDescent="0.25">
      <c r="A3" s="115"/>
      <c r="B3" s="115"/>
      <c r="C3" s="115"/>
      <c r="D3" s="115"/>
    </row>
    <row r="4" spans="1:4" ht="15.75" customHeight="1" thickBot="1" x14ac:dyDescent="0.3">
      <c r="A4" s="1955" t="s">
        <v>106</v>
      </c>
      <c r="B4" s="1956"/>
      <c r="C4" s="1956"/>
      <c r="D4" s="1957"/>
    </row>
    <row r="5" spans="1:4" ht="13.5" thickTop="1" x14ac:dyDescent="0.25"/>
    <row r="6" spans="1:4" ht="15.75" customHeight="1" x14ac:dyDescent="0.25">
      <c r="A6" s="1967" t="s">
        <v>224</v>
      </c>
      <c r="B6" s="1967"/>
      <c r="C6" s="1968"/>
      <c r="D6" s="1968"/>
    </row>
    <row r="7" spans="1:4" x14ac:dyDescent="0.25">
      <c r="A7" s="343"/>
      <c r="B7" s="343"/>
      <c r="C7" s="343"/>
    </row>
    <row r="8" spans="1:4" ht="15.75" customHeight="1" x14ac:dyDescent="0.25">
      <c r="A8" s="1967" t="s">
        <v>225</v>
      </c>
      <c r="B8" s="1967"/>
      <c r="C8" s="1951"/>
      <c r="D8" s="1951"/>
    </row>
    <row r="9" spans="1:4" x14ac:dyDescent="0.25">
      <c r="A9" s="343"/>
      <c r="B9" s="343"/>
      <c r="C9" s="343"/>
    </row>
    <row r="10" spans="1:4" ht="15.75" customHeight="1" x14ac:dyDescent="0.25">
      <c r="A10" s="1967" t="s">
        <v>223</v>
      </c>
      <c r="B10" s="1967"/>
      <c r="C10" s="1958" t="s">
        <v>519</v>
      </c>
      <c r="D10" s="1958"/>
    </row>
    <row r="11" spans="1:4" x14ac:dyDescent="0.25">
      <c r="A11" s="343"/>
      <c r="B11" s="343"/>
      <c r="C11" s="343"/>
    </row>
    <row r="12" spans="1:4" ht="15.75" customHeight="1" x14ac:dyDescent="0.25">
      <c r="A12" s="1967" t="s">
        <v>421</v>
      </c>
      <c r="B12" s="1967"/>
      <c r="C12" s="1958"/>
      <c r="D12" s="1958"/>
    </row>
    <row r="13" spans="1:4" x14ac:dyDescent="0.25">
      <c r="A13" s="343"/>
      <c r="B13" s="343"/>
      <c r="C13" s="343"/>
      <c r="D13" s="438"/>
    </row>
    <row r="14" spans="1:4" ht="15.75" customHeight="1" x14ac:dyDescent="0.25">
      <c r="A14" s="1967" t="s">
        <v>226</v>
      </c>
      <c r="B14" s="1967"/>
      <c r="C14" s="1958"/>
      <c r="D14" s="1958"/>
    </row>
    <row r="15" spans="1:4" x14ac:dyDescent="0.25">
      <c r="A15" s="343"/>
      <c r="B15" s="343"/>
      <c r="C15" s="343"/>
    </row>
    <row r="16" spans="1:4" ht="15.75" customHeight="1" x14ac:dyDescent="0.25">
      <c r="A16" s="1967" t="s">
        <v>227</v>
      </c>
      <c r="B16" s="1967"/>
      <c r="C16" s="1951"/>
      <c r="D16" s="1951"/>
    </row>
    <row r="17" spans="1:4" x14ac:dyDescent="0.25">
      <c r="A17" s="343"/>
      <c r="B17" s="343"/>
      <c r="C17" s="343"/>
      <c r="D17" s="116"/>
    </row>
    <row r="18" spans="1:4" ht="15.75" customHeight="1" x14ac:dyDescent="0.25">
      <c r="A18" s="1967" t="s">
        <v>228</v>
      </c>
      <c r="B18" s="1967"/>
      <c r="C18" s="1958"/>
      <c r="D18" s="1958"/>
    </row>
    <row r="20" spans="1:4" ht="16.5" thickBot="1" x14ac:dyDescent="0.3">
      <c r="A20" s="1955" t="s">
        <v>108</v>
      </c>
      <c r="B20" s="1956"/>
      <c r="C20" s="1956"/>
      <c r="D20" s="1957"/>
    </row>
    <row r="21" spans="1:4" ht="13.5" thickTop="1" x14ac:dyDescent="0.25"/>
    <row r="22" spans="1:4" ht="15.75" customHeight="1" x14ac:dyDescent="0.25">
      <c r="A22" s="1961" t="s">
        <v>117</v>
      </c>
      <c r="B22" s="1961"/>
      <c r="C22" s="1959">
        <v>2016</v>
      </c>
      <c r="D22" s="1959"/>
    </row>
    <row r="23" spans="1:4" x14ac:dyDescent="0.25">
      <c r="A23" s="106"/>
      <c r="B23" s="106"/>
    </row>
    <row r="24" spans="1:4" ht="15.75" customHeight="1" x14ac:dyDescent="0.25">
      <c r="A24" s="1962" t="s">
        <v>67</v>
      </c>
      <c r="B24" s="1962"/>
      <c r="C24" s="1960">
        <v>42825</v>
      </c>
      <c r="D24" s="1960"/>
    </row>
    <row r="25" spans="1:4" x14ac:dyDescent="0.25">
      <c r="A25" s="106"/>
      <c r="B25" s="106"/>
    </row>
    <row r="26" spans="1:4" ht="15" customHeight="1" x14ac:dyDescent="0.25">
      <c r="A26" s="1954" t="s">
        <v>528</v>
      </c>
      <c r="B26" s="1954"/>
      <c r="C26" s="1810">
        <v>3</v>
      </c>
      <c r="D26" s="1809"/>
    </row>
    <row r="27" spans="1:4" x14ac:dyDescent="0.25">
      <c r="A27" s="1806"/>
      <c r="B27" s="1806"/>
    </row>
    <row r="28" spans="1:4" ht="15.75" customHeight="1" x14ac:dyDescent="0.25">
      <c r="A28" s="1953" t="s">
        <v>95</v>
      </c>
      <c r="B28" s="1953"/>
      <c r="C28" s="1958"/>
      <c r="D28" s="1958"/>
    </row>
    <row r="29" spans="1:4" x14ac:dyDescent="0.25">
      <c r="A29" s="106"/>
      <c r="B29" s="106"/>
    </row>
    <row r="30" spans="1:4" ht="15.75" customHeight="1" x14ac:dyDescent="0.25">
      <c r="A30" s="1954" t="s">
        <v>355</v>
      </c>
      <c r="B30" s="1954"/>
      <c r="C30" s="1958"/>
      <c r="D30" s="1958"/>
    </row>
    <row r="31" spans="1:4" x14ac:dyDescent="0.25">
      <c r="A31" s="106"/>
      <c r="B31" s="106"/>
    </row>
    <row r="32" spans="1:4" ht="15.75" customHeight="1" x14ac:dyDescent="0.25">
      <c r="A32" s="1954" t="s">
        <v>444</v>
      </c>
      <c r="B32" s="1954"/>
      <c r="C32" s="1952"/>
      <c r="D32" s="1952"/>
    </row>
    <row r="34" spans="1:4" ht="16.5" thickBot="1" x14ac:dyDescent="0.3">
      <c r="A34" s="1955" t="s">
        <v>107</v>
      </c>
      <c r="B34" s="1956"/>
      <c r="C34" s="1956"/>
      <c r="D34" s="1957"/>
    </row>
    <row r="35" spans="1:4" ht="13.5" thickTop="1" x14ac:dyDescent="0.25"/>
    <row r="36" spans="1:4" ht="15.75" customHeight="1" x14ac:dyDescent="0.25">
      <c r="A36" s="1963">
        <f>C22</f>
        <v>2016</v>
      </c>
      <c r="B36" s="1963"/>
      <c r="C36" s="1643" t="s">
        <v>518</v>
      </c>
      <c r="D36" s="1643" t="s">
        <v>529</v>
      </c>
    </row>
    <row r="37" spans="1:4" ht="8.25" customHeight="1" x14ac:dyDescent="0.25">
      <c r="A37" s="118"/>
      <c r="B37" s="118"/>
      <c r="C37" s="268"/>
      <c r="D37" s="119"/>
    </row>
    <row r="38" spans="1:4" ht="15.75" customHeight="1" x14ac:dyDescent="0.25">
      <c r="A38" s="1644" t="s">
        <v>520</v>
      </c>
      <c r="B38" s="70"/>
      <c r="C38" s="1805"/>
      <c r="D38" s="1807" t="str">
        <f>IF(($C$38+$C$40+$C$42+$C$44+$C$46+$C$48+$C$50+$C$52)=0, "", C38/($C$38+$C$40+$C$42+$C$44+$C$46+$C$48+$C$50+$C$52))</f>
        <v/>
      </c>
    </row>
    <row r="39" spans="1:4" x14ac:dyDescent="0.25">
      <c r="A39" s="1642"/>
      <c r="B39" s="117"/>
      <c r="C39" s="117"/>
      <c r="D39" s="1808"/>
    </row>
    <row r="40" spans="1:4" ht="15.75" customHeight="1" x14ac:dyDescent="0.25">
      <c r="A40" s="1644" t="s">
        <v>521</v>
      </c>
      <c r="B40" s="70"/>
      <c r="C40" s="1805"/>
      <c r="D40" s="1807" t="str">
        <f>IF(($C$38+$C$40+$C$42+$C$44+$C$46+$C$48+$C$50+$C$52)=0, "", C40/($C$38+$C$40+$C$42+$C$44+$C$46+$C$48+$C$50+$C$52))</f>
        <v/>
      </c>
    </row>
    <row r="41" spans="1:4" x14ac:dyDescent="0.25">
      <c r="A41" s="1642"/>
      <c r="B41" s="117"/>
      <c r="C41" s="117"/>
      <c r="D41" s="1808"/>
    </row>
    <row r="42" spans="1:4" ht="15.75" customHeight="1" x14ac:dyDescent="0.25">
      <c r="A42" s="1644" t="s">
        <v>522</v>
      </c>
      <c r="B42" s="70"/>
      <c r="C42" s="1805"/>
      <c r="D42" s="1807" t="str">
        <f>IF(($C$38+$C$40+$C$42+$C$44+$C$46+$C$48+$C$50+$C$52)=0, "", C42/($C$38+$C$40+$C$42+$C$44+$C$46+$C$48+$C$50+$C$52))</f>
        <v/>
      </c>
    </row>
    <row r="43" spans="1:4" x14ac:dyDescent="0.25">
      <c r="A43" s="1642"/>
      <c r="B43" s="117"/>
      <c r="C43" s="117"/>
      <c r="D43" s="1808"/>
    </row>
    <row r="44" spans="1:4" ht="15.75" customHeight="1" x14ac:dyDescent="0.25">
      <c r="A44" s="1644" t="s">
        <v>523</v>
      </c>
      <c r="B44" s="70"/>
      <c r="C44" s="1805"/>
      <c r="D44" s="1807" t="str">
        <f>IF(($C$38+$C$40+$C$42+$C$44+$C$46+$C$48+$C$50+$C$52)=0, "", C44/($C$38+$C$40+$C$42+$C$44+$C$46+$C$48+$C$50+$C$52))</f>
        <v/>
      </c>
    </row>
    <row r="45" spans="1:4" x14ac:dyDescent="0.25">
      <c r="A45" s="1642"/>
      <c r="B45" s="117"/>
      <c r="C45" s="117"/>
      <c r="D45" s="1808"/>
    </row>
    <row r="46" spans="1:4" ht="15.75" customHeight="1" x14ac:dyDescent="0.25">
      <c r="A46" s="1644" t="s">
        <v>524</v>
      </c>
      <c r="B46" s="70"/>
      <c r="C46" s="1805"/>
      <c r="D46" s="1807" t="str">
        <f>IF(($C$38+$C$40+$C$42+$C$44+$C$46+$C$48+$C$50+$C$52)=0, "", C46/($C$38+$C$40+$C$42+$C$44+$C$46+$C$48+$C$50+$C$52))</f>
        <v/>
      </c>
    </row>
    <row r="47" spans="1:4" x14ac:dyDescent="0.25">
      <c r="A47" s="1642"/>
      <c r="B47" s="117"/>
      <c r="C47" s="117"/>
      <c r="D47" s="1808"/>
    </row>
    <row r="48" spans="1:4" ht="15.75" customHeight="1" x14ac:dyDescent="0.25">
      <c r="A48" s="1644" t="s">
        <v>525</v>
      </c>
      <c r="B48" s="70"/>
      <c r="C48" s="1805"/>
      <c r="D48" s="1807" t="str">
        <f>IF(($C$38+$C$40+$C$42+$C$44+$C$46+$C$48+$C$50+$C$52)=0, "", C48/($C$38+$C$40+$C$42+$C$44+$C$46+$C$48+$C$50+$C$52))</f>
        <v/>
      </c>
    </row>
    <row r="49" spans="1:4" x14ac:dyDescent="0.25">
      <c r="A49" s="1642"/>
      <c r="B49" s="117"/>
      <c r="C49" s="117"/>
      <c r="D49" s="1808"/>
    </row>
    <row r="50" spans="1:4" ht="15.75" customHeight="1" x14ac:dyDescent="0.25">
      <c r="A50" s="1644" t="s">
        <v>526</v>
      </c>
      <c r="B50" s="70"/>
      <c r="C50" s="1805"/>
      <c r="D50" s="1807" t="str">
        <f>IF(($C$38+$C$40+$C$42+$C$44+$C$46+$C$48+$C$50+$C$52)=0, "", C50/($C$38+$C$40+$C$42+$C$44+$C$46+$C$48+$C$50+$C$52))</f>
        <v/>
      </c>
    </row>
    <row r="51" spans="1:4" x14ac:dyDescent="0.25">
      <c r="C51" s="117"/>
      <c r="D51" s="1808"/>
    </row>
    <row r="52" spans="1:4" ht="15.75" customHeight="1" x14ac:dyDescent="0.25">
      <c r="A52" s="1644" t="s">
        <v>527</v>
      </c>
      <c r="B52" s="70"/>
      <c r="C52" s="1805"/>
      <c r="D52" s="1807" t="str">
        <f>IF(($C$38+$C$40+$C$42+$C$44+$C$46+$C$48+$C$50+$C$52)=0, "", C52/($C$38+$C$40+$C$42+$C$44+$C$46+$C$48+$C$50+$C$52))</f>
        <v/>
      </c>
    </row>
    <row r="53" spans="1:4" x14ac:dyDescent="0.25">
      <c r="D53" s="1808"/>
    </row>
  </sheetData>
  <sheetProtection password="CC57" sheet="1" objects="1" scenarios="1"/>
  <protectedRanges>
    <protectedRange sqref="B38:C38 B40:C40 B42:C42 B44:C44 B46:C46 B48:C48 B50:C50 B52:C52" name="Plage3"/>
    <protectedRange sqref="C22 C24 C26 C28 C30 C32" name="Plage2"/>
    <protectedRange sqref="C6 C8 C10 C12 C14 C16 C18" name="Plage1"/>
  </protectedRanges>
  <mergeCells count="30">
    <mergeCell ref="A36:B36"/>
    <mergeCell ref="A1:D1"/>
    <mergeCell ref="A4:D4"/>
    <mergeCell ref="A20:D20"/>
    <mergeCell ref="A6:B6"/>
    <mergeCell ref="A8:B8"/>
    <mergeCell ref="A10:B10"/>
    <mergeCell ref="A12:B12"/>
    <mergeCell ref="A14:B14"/>
    <mergeCell ref="A16:B16"/>
    <mergeCell ref="A18:B18"/>
    <mergeCell ref="C6:D6"/>
    <mergeCell ref="C8:D8"/>
    <mergeCell ref="C10:D10"/>
    <mergeCell ref="C12:D12"/>
    <mergeCell ref="C14:D14"/>
    <mergeCell ref="C16:D16"/>
    <mergeCell ref="C32:D32"/>
    <mergeCell ref="A28:B28"/>
    <mergeCell ref="A30:B30"/>
    <mergeCell ref="A34:D34"/>
    <mergeCell ref="C18:D18"/>
    <mergeCell ref="C22:D22"/>
    <mergeCell ref="C24:D24"/>
    <mergeCell ref="C28:D28"/>
    <mergeCell ref="C30:D30"/>
    <mergeCell ref="A22:B22"/>
    <mergeCell ref="A24:B24"/>
    <mergeCell ref="A32:B32"/>
    <mergeCell ref="A26:B26"/>
  </mergeCells>
  <phoneticPr fontId="50" type="noConversion"/>
  <dataValidations count="9">
    <dataValidation type="list" operator="equal" allowBlank="1" showErrorMessage="1" sqref="C28">
      <formula1>"€,K€"</formula1>
    </dataValidation>
    <dataValidation type="list" operator="equal" allowBlank="1" showErrorMessage="1" sqref="C12">
      <formula1>"Agrément, Autorisation, Agrément &amp; autorisation"</formula1>
    </dataValidation>
    <dataValidation type="list" allowBlank="1" showInputMessage="1" showErrorMessage="1" sqref="C10">
      <formula1>"Association, SA, SARL, SCIC, SCOP, Autre"</formula1>
    </dataValidation>
    <dataValidation type="list" operator="equal" allowBlank="1" showErrorMessage="1" sqref="C30">
      <formula1>"non impôts commerciaux, impôts commerciaux"</formula1>
    </dataValidation>
    <dataValidation type="list" allowBlank="1" showInputMessage="1" showErrorMessage="1" sqref="B52 B50 B42 B44 B46 B48">
      <formula1>"SAAD - PA/PH - Prestataire, SAAD - Familles - Prestataire , SAAD - Mandataire - Public fragile, SAAD - Mandataire - Confort, SAP - Prestations de confort, Soins - SSIAD, Soins - CSI, Autre"</formula1>
    </dataValidation>
    <dataValidation type="list" allowBlank="1" showInputMessage="1" showErrorMessage="1" sqref="B38 B40">
      <formula1>"SAAD - PA/PH - Prestataire, SAAD - Familles - Prestataire , SAAD - Mandataire - Publics fragiles, SAAD - Mandataire - Confort, SAP - Prestations de confort, Soins - SSIAD, Soins - CSI, Autre"</formula1>
    </dataValidation>
    <dataValidation type="list" allowBlank="1" showInputMessage="1" showErrorMessage="1" sqref="C14:D14">
      <formula1>Liste_DPT</formula1>
    </dataValidation>
    <dataValidation type="list" allowBlank="1" showInputMessage="1" showErrorMessage="1" sqref="C18:D18">
      <formula1>Liste_Reseau</formula1>
    </dataValidation>
    <dataValidation type="list" operator="equal" allowBlank="1" showErrorMessage="1" sqref="C22:D22">
      <formula1>Liste_ans</formula1>
    </dataValidation>
  </dataValidations>
  <printOptions horizontalCentered="1"/>
  <pageMargins left="0.70866141732283472" right="0.70866141732283472" top="0.74803149606299213" bottom="0.74803149606299213" header="0.31496062992125984" footer="0.31496062992125984"/>
  <pageSetup paperSize="9" scale="99" fitToWidth="0" orientation="portrait"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E111"/>
  <sheetViews>
    <sheetView showGridLines="0" topLeftCell="A63" zoomScale="90" zoomScaleNormal="90" zoomScaleSheetLayoutView="100" workbookViewId="0">
      <selection activeCell="I67" sqref="I67"/>
    </sheetView>
  </sheetViews>
  <sheetFormatPr baseColWidth="10" defaultColWidth="10.85546875" defaultRowHeight="14.25" x14ac:dyDescent="0.25"/>
  <cols>
    <col min="1" max="1" width="53.140625" style="69" customWidth="1"/>
    <col min="2" max="2" width="5.42578125" style="109" customWidth="1"/>
    <col min="3" max="3" width="25.140625" style="69" customWidth="1"/>
    <col min="4" max="4" width="43.42578125" style="109" customWidth="1"/>
    <col min="5" max="5" width="14.7109375" style="69" customWidth="1"/>
    <col min="6" max="16384" width="10.85546875" style="69"/>
  </cols>
  <sheetData>
    <row r="1" spans="1:5" ht="23.25" customHeight="1" thickBot="1" x14ac:dyDescent="0.3">
      <c r="A1" s="1982" t="s">
        <v>35</v>
      </c>
      <c r="B1" s="1983"/>
      <c r="C1" s="1983"/>
      <c r="D1" s="1983"/>
      <c r="E1" s="1984"/>
    </row>
    <row r="2" spans="1:5" s="15" customFormat="1" ht="13.5" thickTop="1" x14ac:dyDescent="0.25">
      <c r="A2" s="73"/>
      <c r="B2" s="78"/>
      <c r="D2" s="106"/>
    </row>
    <row r="3" spans="1:5" s="15" customFormat="1" ht="12.75" x14ac:dyDescent="0.25">
      <c r="A3" s="1985" t="s">
        <v>591</v>
      </c>
      <c r="B3" s="1985"/>
      <c r="C3" s="1985"/>
      <c r="D3" s="1985"/>
      <c r="E3" s="1985"/>
    </row>
    <row r="4" spans="1:5" s="15" customFormat="1" ht="12.75" x14ac:dyDescent="0.25">
      <c r="A4" s="1985"/>
      <c r="B4" s="1985"/>
      <c r="C4" s="1985"/>
      <c r="D4" s="1985"/>
      <c r="E4" s="1985"/>
    </row>
    <row r="5" spans="1:5" s="15" customFormat="1" ht="12.75" customHeight="1" x14ac:dyDescent="0.25">
      <c r="A5" s="73"/>
      <c r="B5" s="78"/>
      <c r="D5" s="106"/>
    </row>
    <row r="6" spans="1:5" ht="20.25" customHeight="1" thickBot="1" x14ac:dyDescent="0.3">
      <c r="A6" s="1955" t="s">
        <v>49</v>
      </c>
      <c r="B6" s="1956"/>
      <c r="C6" s="1956"/>
      <c r="D6" s="776" t="s">
        <v>167</v>
      </c>
      <c r="E6" s="775" t="s">
        <v>419</v>
      </c>
    </row>
    <row r="7" spans="1:5" s="15" customFormat="1" ht="12.75" customHeight="1" thickTop="1" x14ac:dyDescent="0.25">
      <c r="A7" s="74"/>
      <c r="B7" s="105"/>
      <c r="C7" s="74"/>
      <c r="D7" s="78"/>
      <c r="E7" s="343"/>
    </row>
    <row r="8" spans="1:5" s="15" customFormat="1" ht="21" customHeight="1" x14ac:dyDescent="0.25">
      <c r="A8" s="1972" t="s">
        <v>109</v>
      </c>
      <c r="B8" s="1977"/>
      <c r="C8" s="350"/>
      <c r="D8" s="397"/>
      <c r="E8" s="1042" t="s">
        <v>420</v>
      </c>
    </row>
    <row r="9" spans="1:5" s="15" customFormat="1" ht="12.75" customHeight="1" x14ac:dyDescent="0.25">
      <c r="A9" s="74"/>
      <c r="B9" s="105"/>
      <c r="C9" s="76"/>
      <c r="D9" s="398"/>
      <c r="E9" s="122"/>
    </row>
    <row r="10" spans="1:5" s="15" customFormat="1" ht="22.5" customHeight="1" x14ac:dyDescent="0.25">
      <c r="A10" s="72" t="s">
        <v>36</v>
      </c>
      <c r="B10" s="396">
        <f>B12-1</f>
        <v>2015</v>
      </c>
      <c r="C10" s="70"/>
      <c r="D10" s="397"/>
      <c r="E10" s="1042" t="s">
        <v>420</v>
      </c>
    </row>
    <row r="11" spans="1:5" s="15" customFormat="1" ht="12.75" customHeight="1" x14ac:dyDescent="0.25">
      <c r="A11" s="72"/>
      <c r="B11" s="396"/>
      <c r="C11" s="76"/>
      <c r="D11" s="399"/>
      <c r="E11" s="122"/>
    </row>
    <row r="12" spans="1:5" s="15" customFormat="1" ht="22.5" customHeight="1" x14ac:dyDescent="0.25">
      <c r="A12" s="72" t="s">
        <v>36</v>
      </c>
      <c r="B12" s="396">
        <f>'A.1.Présentation structure'!C22</f>
        <v>2016</v>
      </c>
      <c r="C12" s="70"/>
      <c r="D12" s="397"/>
      <c r="E12" s="1042" t="s">
        <v>420</v>
      </c>
    </row>
    <row r="13" spans="1:5" s="15" customFormat="1" ht="12.75" customHeight="1" x14ac:dyDescent="0.25">
      <c r="A13" s="72"/>
      <c r="B13" s="396"/>
      <c r="C13" s="76"/>
      <c r="D13" s="399"/>
      <c r="E13" s="122"/>
    </row>
    <row r="14" spans="1:5" s="15" customFormat="1" ht="21" customHeight="1" x14ac:dyDescent="0.25">
      <c r="A14" s="72" t="s">
        <v>36</v>
      </c>
      <c r="B14" s="396">
        <f>B12+1</f>
        <v>2017</v>
      </c>
      <c r="C14" s="71"/>
      <c r="D14" s="397"/>
      <c r="E14" s="1042" t="s">
        <v>420</v>
      </c>
    </row>
    <row r="15" spans="1:5" s="15" customFormat="1" ht="12.75" customHeight="1" x14ac:dyDescent="0.25">
      <c r="A15" s="72"/>
      <c r="B15" s="396"/>
      <c r="C15" s="76"/>
      <c r="D15" s="399"/>
      <c r="E15" s="122"/>
    </row>
    <row r="16" spans="1:5" s="15" customFormat="1" ht="21" customHeight="1" x14ac:dyDescent="0.25">
      <c r="A16" s="72" t="s">
        <v>50</v>
      </c>
      <c r="B16" s="396">
        <f>'A.1.Présentation structure'!C22</f>
        <v>2016</v>
      </c>
      <c r="C16" s="71"/>
      <c r="D16" s="397"/>
      <c r="E16" s="1042" t="s">
        <v>420</v>
      </c>
    </row>
    <row r="17" spans="1:5" s="15" customFormat="1" ht="12.75" customHeight="1" x14ac:dyDescent="0.25">
      <c r="A17" s="72"/>
      <c r="B17" s="396"/>
      <c r="C17" s="76"/>
      <c r="D17" s="399"/>
      <c r="E17" s="122"/>
    </row>
    <row r="18" spans="1:5" s="15" customFormat="1" ht="21" customHeight="1" x14ac:dyDescent="0.25">
      <c r="A18" s="72" t="s">
        <v>51</v>
      </c>
      <c r="B18" s="396">
        <f>'A.1.Présentation structure'!C22</f>
        <v>2016</v>
      </c>
      <c r="C18" s="71"/>
      <c r="D18" s="397"/>
      <c r="E18" s="1042" t="s">
        <v>420</v>
      </c>
    </row>
    <row r="19" spans="1:5" s="15" customFormat="1" ht="12.75" customHeight="1" x14ac:dyDescent="0.25">
      <c r="A19" s="72"/>
      <c r="B19" s="106"/>
      <c r="C19" s="76"/>
      <c r="D19" s="399"/>
      <c r="E19" s="122"/>
    </row>
    <row r="20" spans="1:5" s="15" customFormat="1" ht="21" customHeight="1" x14ac:dyDescent="0.25">
      <c r="A20" s="1972" t="s">
        <v>120</v>
      </c>
      <c r="B20" s="1977"/>
      <c r="C20" s="97"/>
      <c r="D20" s="397"/>
      <c r="E20" s="1042" t="s">
        <v>420</v>
      </c>
    </row>
    <row r="21" spans="1:5" s="15" customFormat="1" ht="12.75" customHeight="1" x14ac:dyDescent="0.25">
      <c r="A21" s="72"/>
      <c r="B21" s="106"/>
      <c r="D21" s="106"/>
      <c r="E21" s="343"/>
    </row>
    <row r="22" spans="1:5" ht="20.25" customHeight="1" thickBot="1" x14ac:dyDescent="0.3">
      <c r="A22" s="1955" t="s">
        <v>53</v>
      </c>
      <c r="B22" s="1956"/>
      <c r="C22" s="1956"/>
      <c r="D22" s="776" t="s">
        <v>167</v>
      </c>
      <c r="E22" s="775" t="s">
        <v>419</v>
      </c>
    </row>
    <row r="23" spans="1:5" s="15" customFormat="1" ht="12.75" customHeight="1" thickTop="1" x14ac:dyDescent="0.25">
      <c r="A23" s="75"/>
      <c r="B23" s="107"/>
      <c r="C23" s="76"/>
      <c r="D23" s="78"/>
      <c r="E23" s="343"/>
    </row>
    <row r="24" spans="1:5" s="15" customFormat="1" ht="21" customHeight="1" x14ac:dyDescent="0.25">
      <c r="A24" s="764" t="s">
        <v>52</v>
      </c>
      <c r="B24" s="1646">
        <f>'A.1.Présentation structure'!C22</f>
        <v>2016</v>
      </c>
      <c r="C24" s="111"/>
      <c r="D24" s="397"/>
      <c r="E24" s="1980" t="s">
        <v>420</v>
      </c>
    </row>
    <row r="25" spans="1:5" s="15" customFormat="1" ht="21" customHeight="1" x14ac:dyDescent="0.25">
      <c r="A25" s="1921" t="s">
        <v>530</v>
      </c>
      <c r="B25" s="1647">
        <f>B24-1</f>
        <v>2015</v>
      </c>
      <c r="C25" s="111"/>
      <c r="D25" s="397"/>
      <c r="E25" s="1981"/>
    </row>
    <row r="26" spans="1:5" s="15" customFormat="1" ht="12.75" customHeight="1" x14ac:dyDescent="0.25">
      <c r="A26" s="122"/>
      <c r="B26" s="1648"/>
      <c r="C26" s="76"/>
      <c r="D26" s="398"/>
      <c r="E26" s="343"/>
    </row>
    <row r="27" spans="1:5" s="15" customFormat="1" ht="21" customHeight="1" x14ac:dyDescent="0.25">
      <c r="A27" s="764" t="s">
        <v>52</v>
      </c>
      <c r="B27" s="1649">
        <f>B24+1</f>
        <v>2017</v>
      </c>
      <c r="C27" s="111"/>
      <c r="D27" s="397"/>
      <c r="E27" s="1980" t="s">
        <v>420</v>
      </c>
    </row>
    <row r="28" spans="1:5" s="15" customFormat="1" ht="21" customHeight="1" x14ac:dyDescent="0.25">
      <c r="A28" s="1921" t="s">
        <v>530</v>
      </c>
      <c r="B28" s="1647">
        <f>B27-1</f>
        <v>2016</v>
      </c>
      <c r="C28" s="112"/>
      <c r="D28" s="397"/>
      <c r="E28" s="1981"/>
    </row>
    <row r="29" spans="1:5" s="15" customFormat="1" ht="12.75" customHeight="1" x14ac:dyDescent="0.25">
      <c r="A29" s="75"/>
      <c r="B29" s="107"/>
      <c r="C29" s="76"/>
      <c r="D29" s="398"/>
      <c r="E29" s="343"/>
    </row>
    <row r="30" spans="1:5" s="15" customFormat="1" ht="21" customHeight="1" x14ac:dyDescent="0.25">
      <c r="A30" s="1972" t="s">
        <v>116</v>
      </c>
      <c r="B30" s="1970"/>
      <c r="C30" s="97"/>
      <c r="D30" s="397"/>
      <c r="E30" s="1042" t="s">
        <v>420</v>
      </c>
    </row>
    <row r="31" spans="1:5" s="15" customFormat="1" ht="12.75" customHeight="1" x14ac:dyDescent="0.25">
      <c r="A31" s="75"/>
      <c r="B31" s="107"/>
      <c r="C31" s="76"/>
      <c r="D31" s="398"/>
      <c r="E31" s="343"/>
    </row>
    <row r="32" spans="1:5" s="15" customFormat="1" ht="21" customHeight="1" x14ac:dyDescent="0.25">
      <c r="A32" s="1972" t="s">
        <v>251</v>
      </c>
      <c r="B32" s="1970"/>
      <c r="C32" s="97"/>
      <c r="D32" s="397"/>
      <c r="E32" s="1042" t="s">
        <v>420</v>
      </c>
    </row>
    <row r="33" spans="1:5" s="15" customFormat="1" ht="12.75" customHeight="1" x14ac:dyDescent="0.25">
      <c r="A33" s="75"/>
      <c r="B33" s="107"/>
      <c r="C33" s="76"/>
      <c r="D33" s="398"/>
      <c r="E33" s="343"/>
    </row>
    <row r="34" spans="1:5" s="15" customFormat="1" ht="21" customHeight="1" x14ac:dyDescent="0.25">
      <c r="A34" s="1971" t="s">
        <v>597</v>
      </c>
      <c r="B34" s="1970"/>
      <c r="C34" s="97"/>
      <c r="D34" s="397"/>
      <c r="E34" s="1042" t="s">
        <v>420</v>
      </c>
    </row>
    <row r="35" spans="1:5" s="15" customFormat="1" ht="12.75" customHeight="1" x14ac:dyDescent="0.25">
      <c r="A35" s="75"/>
      <c r="B35" s="107"/>
      <c r="C35" s="76"/>
      <c r="D35" s="398"/>
      <c r="E35" s="1920"/>
    </row>
    <row r="36" spans="1:5" s="15" customFormat="1" ht="21" customHeight="1" x14ac:dyDescent="0.25">
      <c r="A36" s="114" t="s">
        <v>54</v>
      </c>
      <c r="B36" s="113">
        <f>'A.1.Présentation structure'!C22</f>
        <v>2016</v>
      </c>
      <c r="C36" s="123"/>
      <c r="D36" s="397"/>
      <c r="E36" s="1042" t="s">
        <v>420</v>
      </c>
    </row>
    <row r="37" spans="1:5" s="15" customFormat="1" ht="12.75" customHeight="1" x14ac:dyDescent="0.25">
      <c r="A37" s="75"/>
      <c r="B37" s="107"/>
      <c r="C37" s="76"/>
      <c r="D37" s="398"/>
      <c r="E37" s="343"/>
    </row>
    <row r="38" spans="1:5" s="15" customFormat="1" ht="21" customHeight="1" x14ac:dyDescent="0.25">
      <c r="A38" s="1969" t="s">
        <v>598</v>
      </c>
      <c r="B38" s="1978"/>
      <c r="C38" s="111"/>
      <c r="D38" s="397"/>
      <c r="E38" s="1042" t="s">
        <v>420</v>
      </c>
    </row>
    <row r="39" spans="1:5" s="15" customFormat="1" ht="12.75" customHeight="1" x14ac:dyDescent="0.25">
      <c r="B39" s="106"/>
      <c r="D39" s="106"/>
      <c r="E39" s="343"/>
    </row>
    <row r="40" spans="1:5" s="15" customFormat="1" ht="20.25" customHeight="1" thickBot="1" x14ac:dyDescent="0.3">
      <c r="A40" s="1955" t="s">
        <v>418</v>
      </c>
      <c r="B40" s="1956"/>
      <c r="C40" s="1956"/>
      <c r="D40" s="776" t="s">
        <v>167</v>
      </c>
      <c r="E40" s="775" t="s">
        <v>419</v>
      </c>
    </row>
    <row r="41" spans="1:5" s="15" customFormat="1" ht="12.75" customHeight="1" thickTop="1" x14ac:dyDescent="0.25">
      <c r="B41" s="106"/>
      <c r="C41" s="76"/>
      <c r="D41" s="106"/>
      <c r="E41" s="343"/>
    </row>
    <row r="42" spans="1:5" s="15" customFormat="1" ht="21" customHeight="1" x14ac:dyDescent="0.25">
      <c r="A42" s="1969" t="s">
        <v>596</v>
      </c>
      <c r="B42" s="1979"/>
      <c r="C42" s="123"/>
      <c r="D42" s="397"/>
      <c r="E42" s="1042" t="s">
        <v>420</v>
      </c>
    </row>
    <row r="43" spans="1:5" s="15" customFormat="1" ht="12.75" customHeight="1" x14ac:dyDescent="0.25">
      <c r="A43" s="75"/>
      <c r="B43" s="107"/>
      <c r="C43" s="76"/>
      <c r="D43" s="398"/>
      <c r="E43" s="1920"/>
    </row>
    <row r="44" spans="1:5" s="15" customFormat="1" ht="20.25" customHeight="1" x14ac:dyDescent="0.25">
      <c r="A44" s="764" t="s">
        <v>417</v>
      </c>
      <c r="B44" s="108">
        <f>'A.1.Présentation structure'!C22-1</f>
        <v>2015</v>
      </c>
      <c r="C44" s="111"/>
      <c r="D44" s="397"/>
      <c r="E44" s="1042" t="s">
        <v>420</v>
      </c>
    </row>
    <row r="45" spans="1:5" s="15" customFormat="1" ht="20.25" customHeight="1" x14ac:dyDescent="0.25">
      <c r="B45" s="106">
        <f>'A.1.Présentation structure'!C22</f>
        <v>2016</v>
      </c>
      <c r="C45" s="111"/>
      <c r="D45" s="397"/>
      <c r="E45" s="1042" t="s">
        <v>420</v>
      </c>
    </row>
    <row r="46" spans="1:5" s="15" customFormat="1" ht="20.25" customHeight="1" x14ac:dyDescent="0.25">
      <c r="B46" s="106">
        <f>B45+1</f>
        <v>2017</v>
      </c>
      <c r="C46" s="111"/>
      <c r="D46" s="397"/>
      <c r="E46" s="1042" t="s">
        <v>420</v>
      </c>
    </row>
    <row r="47" spans="1:5" s="15" customFormat="1" ht="12.75" customHeight="1" x14ac:dyDescent="0.25">
      <c r="B47" s="106"/>
      <c r="D47" s="106"/>
      <c r="E47" s="343"/>
    </row>
    <row r="48" spans="1:5" s="15" customFormat="1" ht="12.75" customHeight="1" x14ac:dyDescent="0.25">
      <c r="B48" s="106"/>
      <c r="D48" s="106"/>
    </row>
    <row r="49" spans="1:5" ht="20.25" customHeight="1" thickBot="1" x14ac:dyDescent="0.3">
      <c r="A49" s="1955" t="s">
        <v>57</v>
      </c>
      <c r="B49" s="1956"/>
      <c r="C49" s="1973"/>
      <c r="D49" s="776" t="s">
        <v>167</v>
      </c>
      <c r="E49" s="775" t="s">
        <v>419</v>
      </c>
    </row>
    <row r="50" spans="1:5" s="15" customFormat="1" ht="12.75" customHeight="1" thickTop="1" x14ac:dyDescent="0.25">
      <c r="A50" s="75"/>
      <c r="B50" s="107"/>
      <c r="D50" s="106"/>
      <c r="E50" s="343"/>
    </row>
    <row r="51" spans="1:5" s="15" customFormat="1" ht="21" customHeight="1" x14ac:dyDescent="0.25">
      <c r="A51" s="1972" t="s">
        <v>58</v>
      </c>
      <c r="B51" s="1970"/>
      <c r="C51" s="70"/>
      <c r="D51" s="397"/>
      <c r="E51" s="1042" t="s">
        <v>420</v>
      </c>
    </row>
    <row r="52" spans="1:5" s="15" customFormat="1" ht="12.75" customHeight="1" x14ac:dyDescent="0.25">
      <c r="B52" s="106"/>
      <c r="C52" s="76"/>
      <c r="D52" s="399"/>
      <c r="E52" s="343"/>
    </row>
    <row r="53" spans="1:5" s="15" customFormat="1" ht="21" customHeight="1" x14ac:dyDescent="0.25">
      <c r="A53" s="1972" t="s">
        <v>59</v>
      </c>
      <c r="B53" s="1970"/>
      <c r="C53" s="97"/>
      <c r="D53" s="397"/>
      <c r="E53" s="1042" t="s">
        <v>420</v>
      </c>
    </row>
    <row r="54" spans="1:5" s="15" customFormat="1" ht="12.75" customHeight="1" x14ac:dyDescent="0.25">
      <c r="B54" s="106"/>
      <c r="C54" s="76"/>
      <c r="D54" s="399"/>
      <c r="E54" s="343"/>
    </row>
    <row r="55" spans="1:5" s="15" customFormat="1" ht="21" customHeight="1" x14ac:dyDescent="0.25">
      <c r="A55" s="1972" t="s">
        <v>60</v>
      </c>
      <c r="B55" s="1970"/>
      <c r="C55" s="97"/>
      <c r="D55" s="397"/>
      <c r="E55" s="1042" t="s">
        <v>420</v>
      </c>
    </row>
    <row r="56" spans="1:5" s="15" customFormat="1" ht="12.75" customHeight="1" x14ac:dyDescent="0.25">
      <c r="B56" s="106"/>
      <c r="D56" s="106"/>
    </row>
    <row r="57" spans="1:5" ht="20.25" customHeight="1" thickBot="1" x14ac:dyDescent="0.3">
      <c r="A57" s="1955" t="s">
        <v>55</v>
      </c>
      <c r="B57" s="1956"/>
      <c r="C57" s="1974"/>
      <c r="D57" s="776" t="s">
        <v>167</v>
      </c>
      <c r="E57" s="775" t="s">
        <v>419</v>
      </c>
    </row>
    <row r="58" spans="1:5" s="15" customFormat="1" ht="12.75" customHeight="1" thickTop="1" x14ac:dyDescent="0.25">
      <c r="A58" s="75"/>
      <c r="B58" s="107"/>
      <c r="D58" s="106"/>
      <c r="E58" s="343"/>
    </row>
    <row r="59" spans="1:5" s="15" customFormat="1" ht="21" customHeight="1" x14ac:dyDescent="0.25">
      <c r="A59" s="1972" t="s">
        <v>61</v>
      </c>
      <c r="B59" s="1975"/>
      <c r="C59" s="70"/>
      <c r="D59" s="397"/>
      <c r="E59" s="1042" t="s">
        <v>420</v>
      </c>
    </row>
    <row r="60" spans="1:5" s="15" customFormat="1" ht="12.75" customHeight="1" x14ac:dyDescent="0.25">
      <c r="A60" s="75"/>
      <c r="B60" s="107"/>
      <c r="C60" s="76"/>
      <c r="D60" s="399"/>
      <c r="E60" s="343"/>
    </row>
    <row r="61" spans="1:5" s="15" customFormat="1" ht="21" customHeight="1" x14ac:dyDescent="0.25">
      <c r="A61" s="1972" t="s">
        <v>62</v>
      </c>
      <c r="B61" s="1970"/>
      <c r="C61" s="70"/>
      <c r="D61" s="397"/>
      <c r="E61" s="1042" t="s">
        <v>420</v>
      </c>
    </row>
    <row r="62" spans="1:5" s="15" customFormat="1" ht="12.75" customHeight="1" x14ac:dyDescent="0.25">
      <c r="A62" s="75"/>
      <c r="B62" s="107"/>
      <c r="C62" s="76"/>
      <c r="D62" s="399"/>
      <c r="E62" s="343"/>
    </row>
    <row r="63" spans="1:5" s="15" customFormat="1" ht="21" customHeight="1" x14ac:dyDescent="0.25">
      <c r="A63" s="1972" t="s">
        <v>110</v>
      </c>
      <c r="B63" s="1970"/>
      <c r="C63" s="70"/>
      <c r="D63" s="397"/>
      <c r="E63" s="1042" t="s">
        <v>420</v>
      </c>
    </row>
    <row r="64" spans="1:5" s="15" customFormat="1" ht="12.75" customHeight="1" x14ac:dyDescent="0.25">
      <c r="A64" s="75"/>
      <c r="B64" s="107"/>
      <c r="C64" s="76"/>
      <c r="D64" s="399"/>
      <c r="E64" s="343"/>
    </row>
    <row r="65" spans="1:5" s="15" customFormat="1" ht="21" customHeight="1" x14ac:dyDescent="0.25">
      <c r="A65" s="1971" t="s">
        <v>531</v>
      </c>
      <c r="B65" s="1970"/>
      <c r="C65" s="70"/>
      <c r="D65" s="397"/>
      <c r="E65" s="1042" t="s">
        <v>420</v>
      </c>
    </row>
    <row r="66" spans="1:5" s="15" customFormat="1" ht="12.75" customHeight="1" x14ac:dyDescent="0.25">
      <c r="B66" s="106"/>
      <c r="D66" s="106"/>
      <c r="E66" s="343"/>
    </row>
    <row r="67" spans="1:5" ht="20.25" customHeight="1" thickBot="1" x14ac:dyDescent="0.3">
      <c r="A67" s="1955" t="s">
        <v>111</v>
      </c>
      <c r="B67" s="1956"/>
      <c r="C67" s="1974"/>
      <c r="D67" s="776" t="s">
        <v>167</v>
      </c>
      <c r="E67" s="775" t="s">
        <v>419</v>
      </c>
    </row>
    <row r="68" spans="1:5" s="15" customFormat="1" ht="12.75" customHeight="1" thickTop="1" x14ac:dyDescent="0.25">
      <c r="A68" s="75"/>
      <c r="B68" s="107"/>
      <c r="D68" s="106"/>
      <c r="E68" s="343"/>
    </row>
    <row r="69" spans="1:5" s="15" customFormat="1" ht="21" customHeight="1" x14ac:dyDescent="0.25">
      <c r="A69" s="1972" t="s">
        <v>4</v>
      </c>
      <c r="B69" s="1970"/>
      <c r="C69" s="70"/>
      <c r="D69" s="397"/>
      <c r="E69" s="1042" t="s">
        <v>420</v>
      </c>
    </row>
    <row r="70" spans="1:5" s="15" customFormat="1" ht="12.75" customHeight="1" x14ac:dyDescent="0.25">
      <c r="A70" s="75"/>
      <c r="B70" s="107"/>
      <c r="C70" s="76"/>
      <c r="D70" s="399"/>
      <c r="E70" s="343"/>
    </row>
    <row r="71" spans="1:5" s="15" customFormat="1" ht="21" customHeight="1" x14ac:dyDescent="0.25">
      <c r="A71" s="1972" t="s">
        <v>118</v>
      </c>
      <c r="B71" s="1970"/>
      <c r="C71" s="70"/>
      <c r="D71" s="397"/>
      <c r="E71" s="1042" t="s">
        <v>420</v>
      </c>
    </row>
    <row r="72" spans="1:5" s="15" customFormat="1" ht="12.75" customHeight="1" x14ac:dyDescent="0.25">
      <c r="A72" s="75"/>
      <c r="B72" s="107"/>
      <c r="C72" s="76"/>
      <c r="D72" s="399"/>
    </row>
    <row r="73" spans="1:5" s="15" customFormat="1" ht="21" customHeight="1" x14ac:dyDescent="0.25">
      <c r="A73" s="1971" t="s">
        <v>532</v>
      </c>
      <c r="B73" s="1970"/>
      <c r="C73" s="71"/>
      <c r="D73" s="397"/>
      <c r="E73" s="1042" t="s">
        <v>420</v>
      </c>
    </row>
    <row r="74" spans="1:5" s="15" customFormat="1" ht="12.75" customHeight="1" x14ac:dyDescent="0.25">
      <c r="A74" s="75"/>
      <c r="B74" s="107"/>
      <c r="C74" s="76"/>
      <c r="D74" s="399"/>
    </row>
    <row r="75" spans="1:5" s="15" customFormat="1" ht="21" customHeight="1" x14ac:dyDescent="0.25">
      <c r="A75" s="1972" t="s">
        <v>115</v>
      </c>
      <c r="B75" s="1970"/>
      <c r="C75" s="71"/>
      <c r="D75" s="397"/>
      <c r="E75" s="1042" t="s">
        <v>420</v>
      </c>
    </row>
    <row r="76" spans="1:5" s="15" customFormat="1" ht="12.75" customHeight="1" x14ac:dyDescent="0.25">
      <c r="A76" s="75"/>
      <c r="B76" s="107"/>
      <c r="C76" s="76"/>
      <c r="D76" s="399"/>
      <c r="E76" s="778"/>
    </row>
    <row r="77" spans="1:5" s="15" customFormat="1" ht="21" customHeight="1" x14ac:dyDescent="0.25">
      <c r="A77" s="1972" t="s">
        <v>249</v>
      </c>
      <c r="B77" s="1970"/>
      <c r="C77" s="71"/>
      <c r="D77" s="397"/>
      <c r="E77" s="1042" t="s">
        <v>420</v>
      </c>
    </row>
    <row r="78" spans="1:5" s="15" customFormat="1" ht="12.75" customHeight="1" x14ac:dyDescent="0.25">
      <c r="A78" s="75"/>
      <c r="B78" s="107"/>
      <c r="C78" s="1038"/>
      <c r="D78" s="399"/>
      <c r="E78" s="343"/>
    </row>
    <row r="79" spans="1:5" s="15" customFormat="1" ht="21" customHeight="1" x14ac:dyDescent="0.25">
      <c r="A79" s="1972" t="s">
        <v>250</v>
      </c>
      <c r="B79" s="1976"/>
      <c r="C79" s="71"/>
      <c r="D79" s="1037"/>
      <c r="E79" s="1042" t="s">
        <v>420</v>
      </c>
    </row>
    <row r="80" spans="1:5" s="15" customFormat="1" ht="12.75" customHeight="1" x14ac:dyDescent="0.25">
      <c r="A80" s="75"/>
      <c r="B80" s="107"/>
      <c r="C80" s="76"/>
      <c r="D80" s="399"/>
      <c r="E80" s="343"/>
    </row>
    <row r="81" spans="1:5" s="15" customFormat="1" ht="21" customHeight="1" x14ac:dyDescent="0.25">
      <c r="A81" s="1972" t="s">
        <v>5</v>
      </c>
      <c r="B81" s="1970"/>
      <c r="C81" s="71"/>
      <c r="D81" s="397"/>
      <c r="E81" s="1042" t="s">
        <v>420</v>
      </c>
    </row>
    <row r="82" spans="1:5" s="15" customFormat="1" ht="12.75" customHeight="1" x14ac:dyDescent="0.25">
      <c r="B82" s="106"/>
      <c r="D82" s="106"/>
    </row>
    <row r="83" spans="1:5" ht="20.25" customHeight="1" thickBot="1" x14ac:dyDescent="0.3">
      <c r="A83" s="1955" t="s">
        <v>96</v>
      </c>
      <c r="B83" s="1956"/>
      <c r="C83" s="1973"/>
      <c r="D83" s="776" t="s">
        <v>167</v>
      </c>
      <c r="E83" s="775" t="s">
        <v>419</v>
      </c>
    </row>
    <row r="84" spans="1:5" s="15" customFormat="1" ht="12.75" customHeight="1" thickTop="1" x14ac:dyDescent="0.25">
      <c r="A84" s="75"/>
      <c r="B84" s="107"/>
      <c r="C84" s="76"/>
      <c r="D84" s="106"/>
      <c r="E84" s="778"/>
    </row>
    <row r="85" spans="1:5" s="15" customFormat="1" ht="21" customHeight="1" x14ac:dyDescent="0.25">
      <c r="A85" s="1971" t="s">
        <v>534</v>
      </c>
      <c r="B85" s="1970"/>
      <c r="C85" s="71"/>
      <c r="D85" s="397"/>
      <c r="E85" s="1042" t="s">
        <v>420</v>
      </c>
    </row>
    <row r="86" spans="1:5" s="15" customFormat="1" ht="12.75" customHeight="1" x14ac:dyDescent="0.25">
      <c r="A86" s="75"/>
      <c r="B86" s="107"/>
      <c r="C86" s="76"/>
      <c r="D86" s="399"/>
      <c r="E86" s="343"/>
    </row>
    <row r="87" spans="1:5" s="15" customFormat="1" ht="21" customHeight="1" x14ac:dyDescent="0.25">
      <c r="A87" s="1971" t="s">
        <v>533</v>
      </c>
      <c r="B87" s="1970"/>
      <c r="C87" s="71"/>
      <c r="D87" s="397"/>
      <c r="E87" s="1042" t="s">
        <v>420</v>
      </c>
    </row>
    <row r="88" spans="1:5" s="15" customFormat="1" ht="12.75" customHeight="1" x14ac:dyDescent="0.25">
      <c r="A88" s="75"/>
      <c r="B88" s="107"/>
      <c r="C88" s="76"/>
      <c r="D88" s="399"/>
      <c r="E88" s="343"/>
    </row>
    <row r="89" spans="1:5" s="15" customFormat="1" ht="21" customHeight="1" x14ac:dyDescent="0.25">
      <c r="A89" s="1972" t="s">
        <v>119</v>
      </c>
      <c r="B89" s="1970"/>
      <c r="C89" s="71"/>
      <c r="D89" s="397"/>
      <c r="E89" s="1042" t="s">
        <v>420</v>
      </c>
    </row>
    <row r="90" spans="1:5" s="15" customFormat="1" ht="12.75" customHeight="1" x14ac:dyDescent="0.25">
      <c r="B90" s="106"/>
      <c r="C90" s="77"/>
      <c r="D90" s="110"/>
    </row>
    <row r="91" spans="1:5" ht="20.25" customHeight="1" thickBot="1" x14ac:dyDescent="0.3">
      <c r="A91" s="1955" t="s">
        <v>56</v>
      </c>
      <c r="B91" s="1956"/>
      <c r="C91" s="1973"/>
      <c r="D91" s="776" t="s">
        <v>167</v>
      </c>
      <c r="E91" s="775" t="s">
        <v>419</v>
      </c>
    </row>
    <row r="92" spans="1:5" s="15" customFormat="1" ht="12.75" customHeight="1" thickTop="1" x14ac:dyDescent="0.25">
      <c r="A92" s="75"/>
      <c r="B92" s="107"/>
      <c r="D92" s="106"/>
    </row>
    <row r="93" spans="1:5" s="15" customFormat="1" ht="21" customHeight="1" x14ac:dyDescent="0.25">
      <c r="A93" s="1972" t="s">
        <v>253</v>
      </c>
      <c r="B93" s="1970"/>
      <c r="C93" s="70"/>
      <c r="D93" s="397"/>
      <c r="E93" s="1042" t="s">
        <v>420</v>
      </c>
    </row>
    <row r="94" spans="1:5" s="15" customFormat="1" ht="12.75" customHeight="1" x14ac:dyDescent="0.25">
      <c r="A94" s="75"/>
      <c r="B94" s="107"/>
      <c r="C94" s="76"/>
      <c r="D94" s="399"/>
      <c r="E94" s="343"/>
    </row>
    <row r="95" spans="1:5" s="15" customFormat="1" ht="21" customHeight="1" x14ac:dyDescent="0.25">
      <c r="A95" s="1972" t="s">
        <v>168</v>
      </c>
      <c r="B95" s="1970"/>
      <c r="C95" s="71"/>
      <c r="D95" s="397"/>
      <c r="E95" s="1042" t="s">
        <v>420</v>
      </c>
    </row>
    <row r="96" spans="1:5" s="15" customFormat="1" ht="12.75" customHeight="1" x14ac:dyDescent="0.25">
      <c r="A96" s="75"/>
      <c r="B96" s="107"/>
      <c r="C96" s="76"/>
      <c r="D96" s="399"/>
      <c r="E96" s="343"/>
    </row>
    <row r="97" spans="1:5" s="15" customFormat="1" ht="21" customHeight="1" x14ac:dyDescent="0.25">
      <c r="A97" s="1972" t="s">
        <v>254</v>
      </c>
      <c r="B97" s="1970"/>
      <c r="C97" s="71"/>
      <c r="D97" s="397"/>
      <c r="E97" s="1042" t="s">
        <v>420</v>
      </c>
    </row>
    <row r="98" spans="1:5" s="15" customFormat="1" ht="12.75" customHeight="1" x14ac:dyDescent="0.25">
      <c r="A98" s="75"/>
      <c r="B98" s="107"/>
      <c r="C98" s="76"/>
      <c r="D98" s="399"/>
      <c r="E98" s="343"/>
    </row>
    <row r="99" spans="1:5" s="15" customFormat="1" ht="21" customHeight="1" x14ac:dyDescent="0.25">
      <c r="A99" s="1972" t="s">
        <v>114</v>
      </c>
      <c r="B99" s="1970"/>
      <c r="C99" s="71"/>
      <c r="D99" s="397"/>
      <c r="E99" s="1042" t="s">
        <v>420</v>
      </c>
    </row>
    <row r="100" spans="1:5" s="15" customFormat="1" ht="12.75" customHeight="1" x14ac:dyDescent="0.25">
      <c r="A100" s="75"/>
      <c r="B100" s="107"/>
      <c r="C100" s="76"/>
      <c r="D100" s="399"/>
    </row>
    <row r="101" spans="1:5" s="15" customFormat="1" ht="21" customHeight="1" x14ac:dyDescent="0.25">
      <c r="A101" s="1972" t="s">
        <v>252</v>
      </c>
      <c r="B101" s="1970"/>
      <c r="C101" s="71"/>
      <c r="D101" s="397"/>
      <c r="E101" s="1042" t="s">
        <v>420</v>
      </c>
    </row>
    <row r="102" spans="1:5" s="15" customFormat="1" ht="12.75" customHeight="1" x14ac:dyDescent="0.25">
      <c r="A102" s="75"/>
      <c r="B102" s="107"/>
      <c r="C102" s="76"/>
      <c r="D102" s="399"/>
    </row>
    <row r="103" spans="1:5" s="15" customFormat="1" ht="21" customHeight="1" x14ac:dyDescent="0.25">
      <c r="A103" s="1972" t="s">
        <v>113</v>
      </c>
      <c r="B103" s="1970"/>
      <c r="C103" s="71"/>
      <c r="D103" s="397"/>
      <c r="E103" s="1042" t="s">
        <v>420</v>
      </c>
    </row>
    <row r="104" spans="1:5" s="15" customFormat="1" ht="12.75" customHeight="1" x14ac:dyDescent="0.25">
      <c r="A104" s="75"/>
      <c r="B104" s="107"/>
      <c r="C104" s="76"/>
      <c r="D104" s="399"/>
    </row>
    <row r="105" spans="1:5" s="15" customFormat="1" ht="21" customHeight="1" x14ac:dyDescent="0.25">
      <c r="A105" s="1969" t="s">
        <v>169</v>
      </c>
      <c r="B105" s="1970"/>
      <c r="C105" s="71"/>
      <c r="D105" s="397"/>
      <c r="E105" s="1042" t="s">
        <v>420</v>
      </c>
    </row>
    <row r="106" spans="1:5" s="15" customFormat="1" ht="12.75" x14ac:dyDescent="0.25">
      <c r="B106" s="106"/>
      <c r="D106" s="106"/>
    </row>
    <row r="107" spans="1:5" s="15" customFormat="1" ht="21" customHeight="1" x14ac:dyDescent="0.25">
      <c r="A107" s="1969" t="s">
        <v>440</v>
      </c>
      <c r="B107" s="1970"/>
      <c r="C107" s="70"/>
      <c r="D107" s="397"/>
      <c r="E107" s="1042" t="s">
        <v>420</v>
      </c>
    </row>
    <row r="108" spans="1:5" s="15" customFormat="1" ht="12.75" x14ac:dyDescent="0.25">
      <c r="A108" s="73"/>
      <c r="B108" s="78"/>
      <c r="D108" s="106"/>
    </row>
    <row r="109" spans="1:5" s="15" customFormat="1" ht="12.75" x14ac:dyDescent="0.25">
      <c r="A109" s="73"/>
      <c r="B109" s="78"/>
      <c r="D109" s="106"/>
    </row>
    <row r="110" spans="1:5" s="15" customFormat="1" ht="12.75" x14ac:dyDescent="0.25">
      <c r="A110" s="73"/>
      <c r="B110" s="78"/>
      <c r="D110" s="106"/>
    </row>
    <row r="111" spans="1:5" s="15" customFormat="1" ht="12.75" x14ac:dyDescent="0.25">
      <c r="A111" s="73"/>
      <c r="B111" s="78"/>
      <c r="D111" s="106"/>
    </row>
  </sheetData>
  <sheetProtection password="CC57" sheet="1" objects="1" scenarios="1"/>
  <protectedRanges>
    <protectedRange sqref="E30 E32 E36 E38 E44:E46 E51 E53 E55 E59 E61 E63 E65 E69 E71 E73 E75 E77 E79 E81 E85 E87 E89 E93 E95 E97 E99 E101 E103 E105 E107 E42 E34" name="Plage10"/>
    <protectedRange sqref="E27:E28" name="Plage9"/>
    <protectedRange sqref="E24:E25" name="Plage8"/>
    <protectedRange sqref="E8 E10 E12 E14 E16:E18 E20" name="Plage7"/>
    <protectedRange sqref="C8:D8 C10:D10 C12:D12 C14:D14 C16:D16 C18:D18 C20:D20 C24:D25 C30:D30 C44:D46 C32:D32 C36:D36 C38:D38 C27:D28 C34" name="Plage1"/>
    <protectedRange sqref="C51:D51 C53:D53 C55:D55 C59:D59 C61:D61 C63:D63 C65:D65" name="Plage2"/>
    <protectedRange sqref="C51:D51 C53:D53 C55:D55 C59:D59 C61:D61 C63:D63 C65:D65" name="Plage3"/>
    <protectedRange sqref="C51:D51 C53:D53 C55:D55 C59:D59 C61:D61 C63:D63 C65:D65" name="Plage4"/>
    <protectedRange sqref="C69:D69 C71:D71 C73:D73 C75:D75 C77:D77 C79:D79 C81:D81 C85:D85 C87:D87 C89:D89" name="Plage5"/>
    <protectedRange sqref="C93:D93 C95:D95 C97:D97 C99:D99 C101:D101 C103:D103 C105:D105 C107:D107" name="Plage6"/>
  </protectedRanges>
  <mergeCells count="44">
    <mergeCell ref="E24:E25"/>
    <mergeCell ref="E27:E28"/>
    <mergeCell ref="A1:E1"/>
    <mergeCell ref="A6:C6"/>
    <mergeCell ref="A22:C22"/>
    <mergeCell ref="A3:E4"/>
    <mergeCell ref="A49:C49"/>
    <mergeCell ref="A57:C57"/>
    <mergeCell ref="A8:B8"/>
    <mergeCell ref="A20:B20"/>
    <mergeCell ref="A30:B30"/>
    <mergeCell ref="A32:B32"/>
    <mergeCell ref="A38:B38"/>
    <mergeCell ref="A51:B51"/>
    <mergeCell ref="A40:C40"/>
    <mergeCell ref="A42:B42"/>
    <mergeCell ref="A34:B34"/>
    <mergeCell ref="A67:C67"/>
    <mergeCell ref="A83:C83"/>
    <mergeCell ref="A65:B65"/>
    <mergeCell ref="A53:B53"/>
    <mergeCell ref="A55:B55"/>
    <mergeCell ref="A59:B59"/>
    <mergeCell ref="A61:B61"/>
    <mergeCell ref="A63:B63"/>
    <mergeCell ref="A69:B69"/>
    <mergeCell ref="A71:B71"/>
    <mergeCell ref="A73:B73"/>
    <mergeCell ref="A75:B75"/>
    <mergeCell ref="A77:B77"/>
    <mergeCell ref="A79:B79"/>
    <mergeCell ref="A81:B81"/>
    <mergeCell ref="A107:B107"/>
    <mergeCell ref="A85:B85"/>
    <mergeCell ref="A87:B87"/>
    <mergeCell ref="A89:B89"/>
    <mergeCell ref="A103:B103"/>
    <mergeCell ref="A105:B105"/>
    <mergeCell ref="A93:B93"/>
    <mergeCell ref="A95:B95"/>
    <mergeCell ref="A97:B97"/>
    <mergeCell ref="A99:B99"/>
    <mergeCell ref="A101:B101"/>
    <mergeCell ref="A91:C91"/>
  </mergeCells>
  <phoneticPr fontId="50" type="noConversion"/>
  <dataValidations count="17">
    <dataValidation type="list" allowBlank="1" showInputMessage="1" showErrorMessage="1" sqref="C79 C73 C75 C77 C93 C95 C97 C99 C101 C103 C105 C30 C32 C107 C34">
      <formula1>"Oui, Non"</formula1>
    </dataValidation>
    <dataValidation type="list" allowBlank="1" showInputMessage="1" showErrorMessage="1" sqref="C85">
      <formula1>"Non, Oui forte, Oui modérée, A venir"</formula1>
    </dataValidation>
    <dataValidation type="list" allowBlank="1" showInputMessage="1" showErrorMessage="1" sqref="C87">
      <formula1>"Fort, Modéré, Faible"</formula1>
    </dataValidation>
    <dataValidation type="list" allowBlank="1" showInputMessage="1" showErrorMessage="1" sqref="C89">
      <formula1>"Très bonnes, Bonnes, Tendues, Très tendues"</formula1>
    </dataValidation>
    <dataValidation type="list" allowBlank="1" showInputMessage="1" showErrorMessage="1" sqref="C81">
      <formula1>Liste_Restruc</formula1>
    </dataValidation>
    <dataValidation type="list" allowBlank="1" showInputMessage="1" showErrorMessage="1" sqref="C69">
      <formula1>"Globalement bonne, Peut être améliorée"</formula1>
    </dataValidation>
    <dataValidation type="list" allowBlank="1" showInputMessage="1" showErrorMessage="1" sqref="C71">
      <formula1>"Satisfaisante, Non satisfaisante"</formula1>
    </dataValidation>
    <dataValidation type="list" allowBlank="1" showInputMessage="1" showErrorMessage="1" sqref="C18 C16 C59 C61">
      <formula1>"Augmentation, Diminution, Stable"</formula1>
    </dataValidation>
    <dataValidation type="list" allowBlank="1" showInputMessage="1" showErrorMessage="1" sqref="C63">
      <formula1>"Plusieurs fois par mois, Plusieurs fois par trimestre, Plusieurs fois par an, Pas de difficulté de trésorerie"</formula1>
    </dataValidation>
    <dataValidation type="list" allowBlank="1" showInputMessage="1" showErrorMessage="1" sqref="C65">
      <formula1>"Oui, Non, A prévoir"</formula1>
    </dataValidation>
    <dataValidation type="list" allowBlank="1" showInputMessage="1" showErrorMessage="1" sqref="C55 C51 C53">
      <formula1>"Pas de procédure juridique, Mandat ad'hoc,  Procédure de conciliation, Procédure de sauvegarde, Redressement judiciaire, Liquidation"</formula1>
    </dataValidation>
    <dataValidation type="list" allowBlank="1" showInputMessage="1" showErrorMessage="1" sqref="C8">
      <formula1>Liste_Fusion</formula1>
    </dataValidation>
    <dataValidation type="list" allowBlank="1" showInputMessage="1" showErrorMessage="1" sqref="C10 C12 C14">
      <formula1>"Non, Oui une activité, Oui plusieurs activités"</formula1>
    </dataValidation>
    <dataValidation type="list" allowBlank="1" showInputMessage="1" showErrorMessage="1" sqref="C20">
      <formula1>"Finalisée, Engagée, Prévue, Non"</formula1>
    </dataValidation>
    <dataValidation type="list" allowBlank="1" showInputMessage="1" showErrorMessage="1" sqref="E8 E10 E12 E14 E16 E18 E20 E24 E27 E30 E32 E36 E38 E44:E46 E99 E51 E53 E55 E97 E59 E61 E63 E65 E95 E93 E69 E77 E79 E81 E85 E87 E89 E71 E73 E75 E101 E103 E105 E107 E42 E34">
      <formula1>"RAS, Préoccupant, Positif"</formula1>
    </dataValidation>
    <dataValidation type="list" allowBlank="1" showInputMessage="1" showErrorMessage="1" sqref="C24 C27">
      <formula1>"Moins 20 salariés, Entre 20 et 50 salariés, Plus de 50 salariés"</formula1>
    </dataValidation>
    <dataValidation type="list" allowBlank="1" showInputMessage="1" showErrorMessage="1" sqref="C42">
      <formula1>"Communale, Intercommunale, Interdépartementale, Régionale"</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enableFormatConditionsCalculation="0">
    <pageSetUpPr fitToPage="1"/>
  </sheetPr>
  <dimension ref="A1:K97"/>
  <sheetViews>
    <sheetView showGridLines="0" topLeftCell="A43" zoomScale="85" zoomScaleNormal="85" zoomScaleSheetLayoutView="100" workbookViewId="0">
      <selection activeCell="E50" sqref="E50"/>
    </sheetView>
  </sheetViews>
  <sheetFormatPr baseColWidth="10" defaultColWidth="10.85546875" defaultRowHeight="14.25" x14ac:dyDescent="0.25"/>
  <cols>
    <col min="1" max="1" width="1.140625" style="69" customWidth="1"/>
    <col min="2" max="2" width="36.28515625" style="69" customWidth="1"/>
    <col min="3" max="5" width="11.7109375" style="69" customWidth="1"/>
    <col min="6" max="6" width="11.85546875" style="69" customWidth="1"/>
    <col min="7" max="7" width="11.85546875" style="185" customWidth="1"/>
    <col min="8" max="8" width="14.28515625" style="69" customWidth="1"/>
    <col min="9" max="11" width="11.7109375" style="69" customWidth="1"/>
    <col min="12" max="16384" width="10.85546875" style="69"/>
  </cols>
  <sheetData>
    <row r="1" spans="1:11" ht="15.75" customHeight="1" x14ac:dyDescent="0.25">
      <c r="A1" s="8"/>
      <c r="B1" s="8"/>
      <c r="C1" s="8"/>
      <c r="D1" s="8"/>
      <c r="E1" s="8"/>
      <c r="F1" s="8"/>
      <c r="G1" s="8"/>
      <c r="H1" s="8"/>
      <c r="I1" s="8"/>
      <c r="J1" s="8"/>
      <c r="K1" s="8"/>
    </row>
    <row r="2" spans="1:11" ht="26.25" customHeight="1" thickBot="1" x14ac:dyDescent="0.3">
      <c r="A2" s="8"/>
      <c r="B2" s="2048" t="s">
        <v>64</v>
      </c>
      <c r="C2" s="2049"/>
      <c r="D2" s="2049"/>
      <c r="E2" s="2049"/>
      <c r="F2" s="2049"/>
      <c r="G2" s="2049"/>
      <c r="H2" s="2049"/>
      <c r="I2" s="2049"/>
      <c r="J2" s="2049"/>
      <c r="K2" s="2050"/>
    </row>
    <row r="3" spans="1:11" ht="15.75" customHeight="1" thickTop="1" x14ac:dyDescent="0.25">
      <c r="A3" s="8"/>
      <c r="B3" s="8"/>
      <c r="C3" s="44"/>
      <c r="D3" s="44"/>
      <c r="E3" s="44"/>
      <c r="F3" s="8"/>
      <c r="G3" s="8"/>
      <c r="H3" s="8"/>
      <c r="I3" s="44"/>
      <c r="J3" s="44"/>
      <c r="K3" s="44"/>
    </row>
    <row r="4" spans="1:11" ht="21" customHeight="1" x14ac:dyDescent="0.25">
      <c r="A4" s="8"/>
      <c r="B4" s="50"/>
      <c r="C4" s="51">
        <f>D4-1</f>
        <v>2014</v>
      </c>
      <c r="D4" s="52">
        <f>E4-1</f>
        <v>2015</v>
      </c>
      <c r="E4" s="53">
        <f>'A.1.Présentation structure'!C22</f>
        <v>2016</v>
      </c>
      <c r="F4" s="49"/>
      <c r="G4" s="366"/>
      <c r="H4" s="102"/>
      <c r="I4" s="55">
        <f>C4</f>
        <v>2014</v>
      </c>
      <c r="J4" s="52">
        <f>D4</f>
        <v>2015</v>
      </c>
      <c r="K4" s="54">
        <f>E4</f>
        <v>2016</v>
      </c>
    </row>
    <row r="5" spans="1:11" ht="15.75" customHeight="1" x14ac:dyDescent="0.25">
      <c r="A5" s="8"/>
      <c r="B5" s="59" t="s">
        <v>261</v>
      </c>
      <c r="C5" s="56"/>
      <c r="D5" s="56"/>
      <c r="E5" s="57"/>
      <c r="F5" s="2030" t="s">
        <v>262</v>
      </c>
      <c r="G5" s="2030"/>
      <c r="H5" s="2030"/>
      <c r="I5" s="56"/>
      <c r="J5" s="56"/>
      <c r="K5" s="57"/>
    </row>
    <row r="6" spans="1:11" ht="15.75" customHeight="1" x14ac:dyDescent="0.25">
      <c r="A6" s="40"/>
      <c r="B6" s="9" t="s">
        <v>280</v>
      </c>
      <c r="C6" s="124"/>
      <c r="D6" s="125"/>
      <c r="E6" s="126"/>
      <c r="F6" s="2054" t="s">
        <v>6</v>
      </c>
      <c r="G6" s="2055"/>
      <c r="H6" s="2056"/>
      <c r="I6" s="125"/>
      <c r="J6" s="125"/>
      <c r="K6" s="126"/>
    </row>
    <row r="7" spans="1:11" ht="15.75" customHeight="1" x14ac:dyDescent="0.25">
      <c r="A7" s="40"/>
      <c r="B7" s="99" t="s">
        <v>494</v>
      </c>
      <c r="C7" s="127"/>
      <c r="D7" s="128"/>
      <c r="E7" s="129"/>
      <c r="F7" s="2000" t="s">
        <v>10</v>
      </c>
      <c r="G7" s="2001"/>
      <c r="H7" s="2002"/>
      <c r="I7" s="127"/>
      <c r="J7" s="128"/>
      <c r="K7" s="129"/>
    </row>
    <row r="8" spans="1:11" ht="15.75" customHeight="1" x14ac:dyDescent="0.25">
      <c r="A8" s="40"/>
      <c r="B8" s="58" t="s">
        <v>170</v>
      </c>
      <c r="C8" s="130">
        <f>C6-C7</f>
        <v>0</v>
      </c>
      <c r="D8" s="131">
        <f>D6-D7</f>
        <v>0</v>
      </c>
      <c r="E8" s="132">
        <f>E6-E7</f>
        <v>0</v>
      </c>
      <c r="F8" s="2003" t="s">
        <v>97</v>
      </c>
      <c r="G8" s="2004"/>
      <c r="H8" s="2005"/>
      <c r="I8" s="144">
        <f>I6+I7</f>
        <v>0</v>
      </c>
      <c r="J8" s="145">
        <f>J6+J7</f>
        <v>0</v>
      </c>
      <c r="K8" s="146">
        <f>K6+K7</f>
        <v>0</v>
      </c>
    </row>
    <row r="9" spans="1:11" ht="15.75" customHeight="1" x14ac:dyDescent="0.25">
      <c r="A9" s="40"/>
      <c r="B9" s="342" t="s">
        <v>263</v>
      </c>
      <c r="C9" s="133"/>
      <c r="D9" s="134"/>
      <c r="E9" s="135"/>
      <c r="F9" s="2006" t="s">
        <v>426</v>
      </c>
      <c r="G9" s="2007"/>
      <c r="H9" s="2008"/>
      <c r="I9" s="335"/>
      <c r="J9" s="336"/>
      <c r="K9" s="337"/>
    </row>
    <row r="10" spans="1:11" ht="15.75" customHeight="1" x14ac:dyDescent="0.25">
      <c r="A10" s="40"/>
      <c r="B10" s="99" t="s">
        <v>269</v>
      </c>
      <c r="C10" s="136"/>
      <c r="D10" s="137"/>
      <c r="E10" s="135"/>
      <c r="F10" s="2009" t="s">
        <v>247</v>
      </c>
      <c r="G10" s="2010"/>
      <c r="H10" s="2011"/>
      <c r="I10" s="147"/>
      <c r="J10" s="148"/>
      <c r="K10" s="149"/>
    </row>
    <row r="11" spans="1:11" ht="15.75" customHeight="1" x14ac:dyDescent="0.25">
      <c r="A11" s="40"/>
      <c r="B11" s="99" t="s">
        <v>264</v>
      </c>
      <c r="C11" s="138"/>
      <c r="D11" s="137"/>
      <c r="E11" s="135"/>
      <c r="F11" s="2012" t="s">
        <v>282</v>
      </c>
      <c r="G11" s="2013"/>
      <c r="H11" s="2014"/>
      <c r="I11" s="147"/>
      <c r="J11" s="148"/>
      <c r="K11" s="149"/>
    </row>
    <row r="12" spans="1:11" ht="15.75" customHeight="1" x14ac:dyDescent="0.25">
      <c r="A12" s="40"/>
      <c r="B12" s="99" t="s">
        <v>391</v>
      </c>
      <c r="C12" s="139"/>
      <c r="D12" s="140"/>
      <c r="E12" s="141"/>
      <c r="F12" s="1986" t="s">
        <v>84</v>
      </c>
      <c r="G12" s="1987"/>
      <c r="H12" s="1988"/>
      <c r="I12" s="150"/>
      <c r="J12" s="151"/>
      <c r="K12" s="152"/>
    </row>
    <row r="13" spans="1:11" ht="15.75" customHeight="1" x14ac:dyDescent="0.25">
      <c r="A13" s="40"/>
      <c r="B13" s="58" t="s">
        <v>265</v>
      </c>
      <c r="C13" s="344">
        <f>SUM(C9:C12)</f>
        <v>0</v>
      </c>
      <c r="D13" s="142">
        <f>SUM(D9:D12)</f>
        <v>0</v>
      </c>
      <c r="E13" s="143">
        <f>SUM(E9:E12)</f>
        <v>0</v>
      </c>
      <c r="F13" s="1989" t="s">
        <v>266</v>
      </c>
      <c r="G13" s="1990"/>
      <c r="H13" s="1991"/>
      <c r="I13" s="153">
        <f>I9+I10+I11</f>
        <v>0</v>
      </c>
      <c r="J13" s="154">
        <f>J9+J10+J11</f>
        <v>0</v>
      </c>
      <c r="K13" s="155">
        <f>K9+K10+K11</f>
        <v>0</v>
      </c>
    </row>
    <row r="14" spans="1:11" ht="15.75" customHeight="1" thickBot="1" x14ac:dyDescent="0.3">
      <c r="A14" s="40"/>
      <c r="B14" s="1099" t="s">
        <v>267</v>
      </c>
      <c r="C14" s="383">
        <f>C8+C13</f>
        <v>0</v>
      </c>
      <c r="D14" s="384">
        <f>D8+D13</f>
        <v>0</v>
      </c>
      <c r="E14" s="382">
        <f>E8+E13</f>
        <v>0</v>
      </c>
      <c r="F14" s="1992" t="s">
        <v>268</v>
      </c>
      <c r="G14" s="1993"/>
      <c r="H14" s="1994"/>
      <c r="I14" s="380">
        <f>I8+I13</f>
        <v>0</v>
      </c>
      <c r="J14" s="381">
        <f>J8+J13</f>
        <v>0</v>
      </c>
      <c r="K14" s="382">
        <f>K8+K13</f>
        <v>0</v>
      </c>
    </row>
    <row r="15" spans="1:11" ht="15.75" customHeight="1" x14ac:dyDescent="0.25">
      <c r="A15" s="40"/>
      <c r="B15" s="378" t="s">
        <v>83</v>
      </c>
      <c r="C15" s="379"/>
      <c r="D15" s="376"/>
      <c r="E15" s="377"/>
      <c r="F15" s="1995" t="s">
        <v>82</v>
      </c>
      <c r="G15" s="1996"/>
      <c r="H15" s="1997"/>
      <c r="I15" s="375">
        <v>0</v>
      </c>
      <c r="J15" s="376">
        <v>0</v>
      </c>
      <c r="K15" s="377">
        <v>0</v>
      </c>
    </row>
    <row r="16" spans="1:11" ht="15.75" customHeight="1" x14ac:dyDescent="0.25">
      <c r="F16" s="79"/>
      <c r="G16" s="422"/>
      <c r="H16" s="1127" t="s">
        <v>121</v>
      </c>
      <c r="I16" s="1128">
        <f>I14-C14</f>
        <v>0</v>
      </c>
      <c r="J16" s="1128">
        <f>J14-D14</f>
        <v>0</v>
      </c>
      <c r="K16" s="1128">
        <f>K14-E14</f>
        <v>0</v>
      </c>
    </row>
    <row r="17" spans="1:11" ht="15.75" customHeight="1" x14ac:dyDescent="0.25">
      <c r="G17" s="386"/>
      <c r="H17" s="1127"/>
      <c r="I17" s="1128" t="str">
        <f>IF(ABS(I14-C14)&lt;10,"ok","Déséquilibré")</f>
        <v>ok</v>
      </c>
      <c r="J17" s="1128" t="str">
        <f>IF(ABS(J14-D14)&lt;10,"ok","Déséquilibré")</f>
        <v>ok</v>
      </c>
      <c r="K17" s="1128" t="str">
        <f>IF(ABS(K14-E14)&lt;10,"ok","Déséquilibré")</f>
        <v>ok</v>
      </c>
    </row>
    <row r="18" spans="1:11" s="185" customFormat="1" ht="15.75" customHeight="1" x14ac:dyDescent="0.25">
      <c r="G18" s="386"/>
      <c r="H18" s="420"/>
      <c r="I18" s="421"/>
      <c r="J18" s="421"/>
      <c r="K18" s="421"/>
    </row>
    <row r="19" spans="1:11" ht="15.75" customHeight="1" x14ac:dyDescent="0.25">
      <c r="A19" s="8"/>
      <c r="B19" s="8"/>
      <c r="C19" s="8"/>
      <c r="D19" s="8"/>
      <c r="E19" s="8"/>
    </row>
    <row r="20" spans="1:11" ht="26.25" customHeight="1" thickBot="1" x14ac:dyDescent="0.3">
      <c r="A20" s="8"/>
      <c r="B20" s="2051" t="s">
        <v>65</v>
      </c>
      <c r="C20" s="2052"/>
      <c r="D20" s="2052"/>
      <c r="E20" s="2052"/>
      <c r="F20" s="2052"/>
      <c r="G20" s="2052"/>
      <c r="H20" s="2052"/>
      <c r="I20" s="2052"/>
      <c r="J20" s="2052"/>
      <c r="K20" s="2053"/>
    </row>
    <row r="21" spans="1:11" ht="15.75" customHeight="1" thickTop="1" x14ac:dyDescent="0.25">
      <c r="A21" s="8"/>
      <c r="B21" s="8"/>
      <c r="C21" s="44"/>
      <c r="D21" s="44"/>
      <c r="E21" s="44"/>
      <c r="I21" s="80"/>
      <c r="J21" s="80"/>
      <c r="K21" s="80"/>
    </row>
    <row r="22" spans="1:11" ht="21" customHeight="1" x14ac:dyDescent="0.25">
      <c r="A22" s="8"/>
      <c r="B22" s="156"/>
      <c r="C22" s="47">
        <f>D22-1</f>
        <v>2014</v>
      </c>
      <c r="D22" s="46">
        <f>E22-1</f>
        <v>2015</v>
      </c>
      <c r="E22" s="45">
        <f>'A.1.Présentation structure'!C22</f>
        <v>2016</v>
      </c>
      <c r="F22" s="49"/>
      <c r="G22" s="12"/>
      <c r="H22" s="40"/>
      <c r="I22" s="47">
        <f>J22-1</f>
        <v>2014</v>
      </c>
      <c r="J22" s="46">
        <f>K22-1</f>
        <v>2015</v>
      </c>
      <c r="K22" s="345">
        <f>'A.1.Présentation structure'!C22</f>
        <v>2016</v>
      </c>
    </row>
    <row r="23" spans="1:11" ht="15.75" customHeight="1" x14ac:dyDescent="0.25">
      <c r="A23" s="8"/>
      <c r="B23" s="59" t="s">
        <v>7</v>
      </c>
      <c r="C23" s="56"/>
      <c r="D23" s="56"/>
      <c r="E23" s="57"/>
      <c r="F23" s="2030" t="s">
        <v>8</v>
      </c>
      <c r="G23" s="2030"/>
      <c r="H23" s="2030"/>
      <c r="I23" s="56"/>
      <c r="J23" s="56"/>
      <c r="K23" s="57"/>
    </row>
    <row r="24" spans="1:11" ht="15.75" customHeight="1" x14ac:dyDescent="0.25">
      <c r="A24" s="40"/>
      <c r="B24" s="34" t="s">
        <v>283</v>
      </c>
      <c r="C24" s="880"/>
      <c r="D24" s="881"/>
      <c r="E24" s="882"/>
      <c r="F24" s="2009" t="s">
        <v>425</v>
      </c>
      <c r="G24" s="2010"/>
      <c r="H24" s="2011"/>
      <c r="I24" s="895"/>
      <c r="J24" s="896"/>
      <c r="K24" s="897"/>
    </row>
    <row r="25" spans="1:11" ht="15.75" customHeight="1" x14ac:dyDescent="0.25">
      <c r="A25" s="40"/>
      <c r="B25" s="99" t="s">
        <v>273</v>
      </c>
      <c r="C25" s="883"/>
      <c r="D25" s="884"/>
      <c r="E25" s="885"/>
      <c r="F25" s="2012" t="s">
        <v>14</v>
      </c>
      <c r="G25" s="2013"/>
      <c r="H25" s="2014"/>
      <c r="I25" s="895"/>
      <c r="J25" s="896"/>
      <c r="K25" s="897"/>
    </row>
    <row r="26" spans="1:11" ht="15.75" customHeight="1" x14ac:dyDescent="0.25">
      <c r="A26" s="40"/>
      <c r="B26" s="100" t="s">
        <v>274</v>
      </c>
      <c r="C26" s="883"/>
      <c r="D26" s="884"/>
      <c r="E26" s="885"/>
      <c r="F26" s="2012" t="s">
        <v>91</v>
      </c>
      <c r="G26" s="2013"/>
      <c r="H26" s="2014"/>
      <c r="I26" s="895"/>
      <c r="J26" s="896"/>
      <c r="K26" s="897"/>
    </row>
    <row r="27" spans="1:11" ht="15.75" customHeight="1" x14ac:dyDescent="0.25">
      <c r="A27" s="40"/>
      <c r="B27" s="99" t="s">
        <v>275</v>
      </c>
      <c r="C27" s="883"/>
      <c r="D27" s="884"/>
      <c r="E27" s="885"/>
      <c r="F27" s="2012" t="s">
        <v>423</v>
      </c>
      <c r="G27" s="2013"/>
      <c r="H27" s="2014"/>
      <c r="I27" s="895"/>
      <c r="J27" s="896"/>
      <c r="K27" s="914"/>
    </row>
    <row r="28" spans="1:11" ht="15.75" customHeight="1" x14ac:dyDescent="0.25">
      <c r="A28" s="40"/>
      <c r="B28" s="87" t="s">
        <v>98</v>
      </c>
      <c r="C28" s="886"/>
      <c r="D28" s="887"/>
      <c r="E28" s="888"/>
      <c r="F28" s="2057" t="s">
        <v>85</v>
      </c>
      <c r="G28" s="2058"/>
      <c r="H28" s="2059"/>
      <c r="I28" s="915"/>
      <c r="J28" s="916"/>
      <c r="K28" s="917"/>
    </row>
    <row r="29" spans="1:11" ht="15.75" customHeight="1" x14ac:dyDescent="0.25">
      <c r="A29" s="40"/>
      <c r="B29" s="99" t="s">
        <v>276</v>
      </c>
      <c r="C29" s="883"/>
      <c r="D29" s="884"/>
      <c r="E29" s="885"/>
      <c r="F29" s="2057" t="s">
        <v>86</v>
      </c>
      <c r="G29" s="2058"/>
      <c r="H29" s="2059"/>
      <c r="I29" s="915"/>
      <c r="J29" s="916"/>
      <c r="K29" s="917"/>
    </row>
    <row r="30" spans="1:11" ht="15.75" customHeight="1" x14ac:dyDescent="0.25">
      <c r="A30" s="40"/>
      <c r="B30" s="87" t="s">
        <v>98</v>
      </c>
      <c r="C30" s="886"/>
      <c r="D30" s="887"/>
      <c r="E30" s="888"/>
      <c r="F30" s="2057" t="s">
        <v>424</v>
      </c>
      <c r="G30" s="2058"/>
      <c r="H30" s="2059"/>
      <c r="I30" s="915"/>
      <c r="J30" s="916"/>
      <c r="K30" s="917"/>
    </row>
    <row r="31" spans="1:11" ht="15.75" customHeight="1" x14ac:dyDescent="0.25">
      <c r="A31" s="40"/>
      <c r="B31" s="99" t="s">
        <v>277</v>
      </c>
      <c r="C31" s="883"/>
      <c r="D31" s="884"/>
      <c r="E31" s="885"/>
      <c r="F31" s="1998" t="s">
        <v>271</v>
      </c>
      <c r="G31" s="1998"/>
      <c r="H31" s="1999"/>
      <c r="I31" s="895"/>
      <c r="J31" s="896"/>
      <c r="K31" s="914"/>
    </row>
    <row r="32" spans="1:11" ht="15.75" customHeight="1" x14ac:dyDescent="0.25">
      <c r="A32" s="40"/>
      <c r="B32" s="48" t="s">
        <v>278</v>
      </c>
      <c r="C32" s="889"/>
      <c r="D32" s="890"/>
      <c r="E32" s="891"/>
      <c r="F32" s="2000" t="s">
        <v>272</v>
      </c>
      <c r="G32" s="2001"/>
      <c r="H32" s="2002"/>
      <c r="I32" s="918"/>
      <c r="J32" s="919"/>
      <c r="K32" s="920"/>
    </row>
    <row r="33" spans="1:11" ht="15.75" customHeight="1" x14ac:dyDescent="0.25">
      <c r="A33" s="40"/>
      <c r="B33" s="581" t="s">
        <v>279</v>
      </c>
      <c r="C33" s="892">
        <f>SUM(C24:C32)-C28-C30</f>
        <v>0</v>
      </c>
      <c r="D33" s="893">
        <f>SUM(D24:D32)-D28-D30</f>
        <v>0</v>
      </c>
      <c r="E33" s="894">
        <f>SUM(E24:E32)-E28-E30</f>
        <v>0</v>
      </c>
      <c r="F33" s="2003" t="s">
        <v>88</v>
      </c>
      <c r="G33" s="2004"/>
      <c r="H33" s="2005"/>
      <c r="I33" s="921">
        <f>SUM(I24:I27)+SUM(I31:I32)</f>
        <v>0</v>
      </c>
      <c r="J33" s="922">
        <f>SUM(J24:J27)+SUM(J31:J32)</f>
        <v>0</v>
      </c>
      <c r="K33" s="923">
        <f>SUM(K24:K27)+SUM(K31:K32)</f>
        <v>0</v>
      </c>
    </row>
    <row r="34" spans="1:11" ht="15.75" customHeight="1" x14ac:dyDescent="0.25">
      <c r="A34" s="40"/>
      <c r="B34" s="1092" t="s">
        <v>257</v>
      </c>
      <c r="C34" s="1093"/>
      <c r="D34" s="1094"/>
      <c r="E34" s="1095"/>
      <c r="F34" s="2039" t="s">
        <v>258</v>
      </c>
      <c r="G34" s="2040"/>
      <c r="H34" s="2041"/>
      <c r="I34" s="1097"/>
      <c r="J34" s="1094"/>
      <c r="K34" s="1095"/>
    </row>
    <row r="35" spans="1:11" ht="15.75" customHeight="1" x14ac:dyDescent="0.25">
      <c r="A35" s="40"/>
      <c r="B35" s="1096" t="s">
        <v>259</v>
      </c>
      <c r="C35" s="895"/>
      <c r="D35" s="896"/>
      <c r="E35" s="897"/>
      <c r="F35" s="2042" t="s">
        <v>256</v>
      </c>
      <c r="G35" s="2043"/>
      <c r="H35" s="2044"/>
      <c r="I35" s="1098"/>
      <c r="J35" s="896"/>
      <c r="K35" s="897"/>
    </row>
    <row r="36" spans="1:11" ht="15.75" customHeight="1" thickBot="1" x14ac:dyDescent="0.3">
      <c r="A36" s="40"/>
      <c r="B36" s="374" t="s">
        <v>9</v>
      </c>
      <c r="C36" s="898"/>
      <c r="D36" s="899"/>
      <c r="E36" s="900"/>
      <c r="F36" s="2045" t="s">
        <v>89</v>
      </c>
      <c r="G36" s="2046"/>
      <c r="H36" s="2047"/>
      <c r="I36" s="924"/>
      <c r="J36" s="899"/>
      <c r="K36" s="900"/>
    </row>
    <row r="37" spans="1:11" ht="15.75" customHeight="1" x14ac:dyDescent="0.25">
      <c r="A37" s="40"/>
      <c r="B37" s="1103" t="s">
        <v>122</v>
      </c>
      <c r="C37" s="1083">
        <f t="shared" ref="C37:E39" si="0">I37</f>
        <v>0</v>
      </c>
      <c r="D37" s="1084">
        <f t="shared" si="0"/>
        <v>0</v>
      </c>
      <c r="E37" s="1085">
        <f t="shared" si="0"/>
        <v>0</v>
      </c>
      <c r="F37" s="2060" t="s">
        <v>122</v>
      </c>
      <c r="G37" s="2061"/>
      <c r="H37" s="2062"/>
      <c r="I37" s="1080"/>
      <c r="J37" s="1081"/>
      <c r="K37" s="1082"/>
    </row>
    <row r="38" spans="1:11" ht="15.75" customHeight="1" x14ac:dyDescent="0.25">
      <c r="A38" s="40"/>
      <c r="B38" s="103" t="s">
        <v>99</v>
      </c>
      <c r="C38" s="1086">
        <f t="shared" si="0"/>
        <v>0</v>
      </c>
      <c r="D38" s="1087">
        <f t="shared" si="0"/>
        <v>0</v>
      </c>
      <c r="E38" s="1088">
        <f t="shared" si="0"/>
        <v>0</v>
      </c>
      <c r="F38" s="2057" t="s">
        <v>99</v>
      </c>
      <c r="G38" s="2058"/>
      <c r="H38" s="2059"/>
      <c r="I38" s="901"/>
      <c r="J38" s="902"/>
      <c r="K38" s="903"/>
    </row>
    <row r="39" spans="1:11" ht="15.75" customHeight="1" x14ac:dyDescent="0.25">
      <c r="A39" s="40"/>
      <c r="B39" s="88" t="s">
        <v>87</v>
      </c>
      <c r="C39" s="1089">
        <f t="shared" si="0"/>
        <v>0</v>
      </c>
      <c r="D39" s="1090">
        <f t="shared" si="0"/>
        <v>0</v>
      </c>
      <c r="E39" s="1091">
        <f t="shared" si="0"/>
        <v>0</v>
      </c>
      <c r="F39" s="2027" t="s">
        <v>87</v>
      </c>
      <c r="G39" s="2028"/>
      <c r="H39" s="2029"/>
      <c r="I39" s="904"/>
      <c r="J39" s="905"/>
      <c r="K39" s="906"/>
    </row>
    <row r="40" spans="1:11" s="185" customFormat="1" ht="15.75" customHeight="1" x14ac:dyDescent="0.25">
      <c r="A40" s="12"/>
      <c r="B40" s="581" t="s">
        <v>447</v>
      </c>
      <c r="C40" s="892">
        <f>C33+C34+C35+C36</f>
        <v>0</v>
      </c>
      <c r="D40" s="892">
        <f t="shared" ref="D40:E40" si="1">D33+D34+D35+D36</f>
        <v>0</v>
      </c>
      <c r="E40" s="892">
        <f t="shared" si="1"/>
        <v>0</v>
      </c>
      <c r="F40" s="1989" t="s">
        <v>446</v>
      </c>
      <c r="G40" s="1990"/>
      <c r="H40" s="1991"/>
      <c r="I40" s="921">
        <f>I33+I34+I35+I36</f>
        <v>0</v>
      </c>
      <c r="J40" s="921">
        <f t="shared" ref="J40:K40" si="2">J33+J34+J35+J36</f>
        <v>0</v>
      </c>
      <c r="K40" s="921">
        <f t="shared" si="2"/>
        <v>0</v>
      </c>
    </row>
    <row r="41" spans="1:11" ht="15.75" customHeight="1" x14ac:dyDescent="0.25">
      <c r="A41" s="8"/>
      <c r="B41" s="60"/>
      <c r="C41" s="907"/>
      <c r="D41" s="907"/>
      <c r="E41" s="907"/>
      <c r="F41" s="16"/>
      <c r="G41" s="16"/>
      <c r="H41" s="91"/>
      <c r="I41" s="17"/>
      <c r="J41" s="17"/>
      <c r="K41" s="17"/>
    </row>
    <row r="42" spans="1:11" ht="16.5" customHeight="1" x14ac:dyDescent="0.25">
      <c r="A42" s="8"/>
      <c r="B42" s="89" t="s">
        <v>260</v>
      </c>
      <c r="C42" s="908">
        <f>I33-C33</f>
        <v>0</v>
      </c>
      <c r="D42" s="909">
        <f>J33-D33</f>
        <v>0</v>
      </c>
      <c r="E42" s="910">
        <f>K33-E33</f>
        <v>0</v>
      </c>
      <c r="F42" s="16"/>
      <c r="G42" s="16"/>
      <c r="H42" s="16"/>
      <c r="I42" s="17"/>
      <c r="J42" s="17"/>
      <c r="K42" s="17"/>
    </row>
    <row r="43" spans="1:11" ht="16.5" customHeight="1" x14ac:dyDescent="0.25">
      <c r="A43" s="8"/>
      <c r="B43" s="90" t="s">
        <v>123</v>
      </c>
      <c r="C43" s="911">
        <f>(I33+I34+I35+I36)-(C33+C34+C35+C36)</f>
        <v>0</v>
      </c>
      <c r="D43" s="912">
        <f>(J33+J34+J35+J36)-(D33+D34+D35+D36)</f>
        <v>0</v>
      </c>
      <c r="E43" s="913">
        <f>(K33+K34+K35+K36)-(E33+E34+E35+E36)</f>
        <v>0</v>
      </c>
      <c r="F43" s="16"/>
      <c r="G43" s="16"/>
      <c r="H43" s="338"/>
      <c r="I43" s="17"/>
      <c r="J43" s="17"/>
      <c r="K43" s="17"/>
    </row>
    <row r="44" spans="1:11" ht="15.75" customHeight="1" x14ac:dyDescent="0.25">
      <c r="A44" s="8"/>
      <c r="B44" s="73"/>
      <c r="C44" s="15"/>
      <c r="D44" s="15"/>
      <c r="E44" s="15"/>
      <c r="F44" s="15"/>
      <c r="G44" s="15"/>
      <c r="H44" s="15"/>
      <c r="I44" s="15"/>
      <c r="J44" s="15"/>
      <c r="K44" s="15"/>
    </row>
    <row r="45" spans="1:11" ht="15.75" customHeight="1" x14ac:dyDescent="0.25">
      <c r="A45" s="12"/>
      <c r="B45" s="13"/>
      <c r="C45" s="14"/>
      <c r="D45" s="14"/>
      <c r="E45" s="14"/>
    </row>
    <row r="46" spans="1:11" ht="26.25" customHeight="1" thickBot="1" x14ac:dyDescent="0.3">
      <c r="A46" s="12"/>
      <c r="B46" s="2051" t="s">
        <v>66</v>
      </c>
      <c r="C46" s="2052"/>
      <c r="D46" s="2052"/>
      <c r="E46" s="2052"/>
      <c r="F46" s="2052"/>
      <c r="G46" s="2052"/>
      <c r="H46" s="2052"/>
      <c r="I46" s="2052"/>
      <c r="J46" s="2052"/>
      <c r="K46" s="2053"/>
    </row>
    <row r="47" spans="1:11" ht="15.75" customHeight="1" thickTop="1" x14ac:dyDescent="0.25">
      <c r="A47" s="12"/>
      <c r="B47" s="13"/>
      <c r="C47" s="347"/>
      <c r="D47" s="346"/>
      <c r="E47" s="14"/>
      <c r="F47" s="80"/>
      <c r="G47" s="25"/>
    </row>
    <row r="48" spans="1:11" ht="25.5" customHeight="1" x14ac:dyDescent="0.25">
      <c r="A48" s="12"/>
      <c r="B48" s="348"/>
      <c r="C48" s="2037" t="s">
        <v>477</v>
      </c>
      <c r="D48" s="373" t="s">
        <v>318</v>
      </c>
      <c r="E48" s="2033" t="s">
        <v>317</v>
      </c>
      <c r="F48" s="2033" t="s">
        <v>302</v>
      </c>
      <c r="G48" s="2035" t="s">
        <v>476</v>
      </c>
      <c r="H48" s="779"/>
      <c r="I48" s="2031" t="s">
        <v>301</v>
      </c>
    </row>
    <row r="49" spans="1:11" s="81" customFormat="1" ht="20.25" customHeight="1" x14ac:dyDescent="0.25">
      <c r="A49" s="37"/>
      <c r="B49" s="970">
        <f>'A.1.Présentation structure'!C22+1</f>
        <v>2017</v>
      </c>
      <c r="C49" s="2038"/>
      <c r="D49" s="414">
        <f>'A.1.Présentation structure'!C24</f>
        <v>42825</v>
      </c>
      <c r="E49" s="2034"/>
      <c r="F49" s="2034"/>
      <c r="G49" s="2036"/>
      <c r="H49" s="780"/>
      <c r="I49" s="2032"/>
      <c r="K49" s="38"/>
    </row>
    <row r="50" spans="1:11" ht="15.75" customHeight="1" x14ac:dyDescent="0.25">
      <c r="A50" s="12"/>
      <c r="B50" s="34" t="s">
        <v>425</v>
      </c>
      <c r="C50" s="1317"/>
      <c r="D50" s="1814"/>
      <c r="E50" s="1830">
        <f>D50/'A.1.Présentation structure'!$C$26*12</f>
        <v>0</v>
      </c>
      <c r="F50" s="954"/>
      <c r="G50" s="925">
        <f>E50+F50</f>
        <v>0</v>
      </c>
      <c r="H50" s="926"/>
      <c r="I50" s="960">
        <f t="shared" ref="I50:I58" si="3">G50-C50</f>
        <v>0</v>
      </c>
      <c r="K50" s="31"/>
    </row>
    <row r="51" spans="1:11" ht="15.75" customHeight="1" x14ac:dyDescent="0.25">
      <c r="A51" s="12"/>
      <c r="B51" s="35" t="s">
        <v>90</v>
      </c>
      <c r="C51" s="1317"/>
      <c r="D51" s="1814"/>
      <c r="E51" s="1830">
        <f>D51/'A.1.Présentation structure'!$C$26*12</f>
        <v>0</v>
      </c>
      <c r="F51" s="954"/>
      <c r="G51" s="927">
        <f>E51+F51</f>
        <v>0</v>
      </c>
      <c r="H51" s="928"/>
      <c r="I51" s="960">
        <f t="shared" si="3"/>
        <v>0</v>
      </c>
      <c r="K51" s="31"/>
    </row>
    <row r="52" spans="1:11" ht="15.75" customHeight="1" x14ac:dyDescent="0.25">
      <c r="A52" s="12"/>
      <c r="B52" s="35" t="s">
        <v>91</v>
      </c>
      <c r="C52" s="1317"/>
      <c r="D52" s="1815"/>
      <c r="E52" s="1830">
        <f>D52/'A.1.Présentation structure'!$C$26*12</f>
        <v>0</v>
      </c>
      <c r="F52" s="954"/>
      <c r="G52" s="927">
        <f t="shared" ref="G52:G58" si="4">E52+F52</f>
        <v>0</v>
      </c>
      <c r="H52" s="928"/>
      <c r="I52" s="960">
        <f t="shared" si="3"/>
        <v>0</v>
      </c>
      <c r="K52" s="31"/>
    </row>
    <row r="53" spans="1:11" ht="15.75" customHeight="1" x14ac:dyDescent="0.25">
      <c r="A53" s="12"/>
      <c r="B53" s="35" t="s">
        <v>423</v>
      </c>
      <c r="C53" s="1317"/>
      <c r="D53" s="1815"/>
      <c r="E53" s="1830">
        <f>D53/'A.1.Présentation structure'!$C$26*12</f>
        <v>0</v>
      </c>
      <c r="F53" s="954"/>
      <c r="G53" s="927">
        <f t="shared" si="4"/>
        <v>0</v>
      </c>
      <c r="H53" s="928"/>
      <c r="I53" s="960">
        <f t="shared" si="3"/>
        <v>0</v>
      </c>
      <c r="K53" s="31"/>
    </row>
    <row r="54" spans="1:11" ht="15.75" customHeight="1" x14ac:dyDescent="0.25">
      <c r="A54" s="12"/>
      <c r="B54" s="94" t="s">
        <v>85</v>
      </c>
      <c r="C54" s="1318"/>
      <c r="D54" s="1816"/>
      <c r="E54" s="1831">
        <f>D54/'A.1.Présentation structure'!$C$26*12</f>
        <v>0</v>
      </c>
      <c r="F54" s="955"/>
      <c r="G54" s="929">
        <f t="shared" si="4"/>
        <v>0</v>
      </c>
      <c r="H54" s="930"/>
      <c r="I54" s="960">
        <f t="shared" si="3"/>
        <v>0</v>
      </c>
      <c r="K54" s="33"/>
    </row>
    <row r="55" spans="1:11" ht="15.75" customHeight="1" x14ac:dyDescent="0.25">
      <c r="A55" s="12"/>
      <c r="B55" s="94" t="s">
        <v>86</v>
      </c>
      <c r="C55" s="1318"/>
      <c r="D55" s="1816"/>
      <c r="E55" s="1831">
        <f>D55/'A.1.Présentation structure'!$C$26*12</f>
        <v>0</v>
      </c>
      <c r="F55" s="955"/>
      <c r="G55" s="929">
        <f t="shared" si="4"/>
        <v>0</v>
      </c>
      <c r="H55" s="930"/>
      <c r="I55" s="960">
        <f t="shared" si="3"/>
        <v>0</v>
      </c>
      <c r="K55" s="33"/>
    </row>
    <row r="56" spans="1:11" ht="15.75" customHeight="1" x14ac:dyDescent="0.25">
      <c r="A56" s="12"/>
      <c r="B56" s="94" t="s">
        <v>424</v>
      </c>
      <c r="C56" s="1318"/>
      <c r="D56" s="1816"/>
      <c r="E56" s="1831">
        <f>D56/'A.1.Présentation structure'!$C$26*12</f>
        <v>0</v>
      </c>
      <c r="F56" s="955"/>
      <c r="G56" s="929">
        <f t="shared" si="4"/>
        <v>0</v>
      </c>
      <c r="H56" s="931"/>
      <c r="I56" s="960">
        <f t="shared" si="3"/>
        <v>0</v>
      </c>
      <c r="K56" s="33"/>
    </row>
    <row r="57" spans="1:11" ht="15.75" customHeight="1" x14ac:dyDescent="0.25">
      <c r="A57" s="12"/>
      <c r="B57" s="36" t="s">
        <v>271</v>
      </c>
      <c r="C57" s="1317"/>
      <c r="D57" s="1815"/>
      <c r="E57" s="1830">
        <f>D57/'A.1.Présentation structure'!$C$26*12</f>
        <v>0</v>
      </c>
      <c r="F57" s="954"/>
      <c r="G57" s="927">
        <f t="shared" si="4"/>
        <v>0</v>
      </c>
      <c r="H57" s="928"/>
      <c r="I57" s="960">
        <f t="shared" si="3"/>
        <v>0</v>
      </c>
      <c r="K57" s="31"/>
    </row>
    <row r="58" spans="1:11" ht="15.75" customHeight="1" x14ac:dyDescent="0.25">
      <c r="A58" s="12"/>
      <c r="B58" s="35" t="s">
        <v>272</v>
      </c>
      <c r="C58" s="1319"/>
      <c r="D58" s="1817"/>
      <c r="E58" s="1836">
        <f>D58/'A.1.Présentation structure'!$C$26*12</f>
        <v>0</v>
      </c>
      <c r="F58" s="956"/>
      <c r="G58" s="932">
        <f t="shared" si="4"/>
        <v>0</v>
      </c>
      <c r="H58" s="928"/>
      <c r="I58" s="960">
        <f t="shared" si="3"/>
        <v>0</v>
      </c>
      <c r="K58" s="31"/>
    </row>
    <row r="59" spans="1:11" s="15" customFormat="1" ht="15.75" customHeight="1" x14ac:dyDescent="0.25">
      <c r="A59" s="39"/>
      <c r="B59" s="58" t="s">
        <v>88</v>
      </c>
      <c r="C59" s="972">
        <f t="shared" ref="C59:G59" si="5">SUM(C50:C53)+SUM(C57:C58)</f>
        <v>0</v>
      </c>
      <c r="D59" s="1818">
        <f t="shared" si="5"/>
        <v>0</v>
      </c>
      <c r="E59" s="1832">
        <f t="shared" si="5"/>
        <v>0</v>
      </c>
      <c r="F59" s="1828">
        <f t="shared" si="5"/>
        <v>0</v>
      </c>
      <c r="G59" s="933">
        <f t="shared" si="5"/>
        <v>0</v>
      </c>
      <c r="H59" s="934"/>
      <c r="I59" s="961">
        <f>SUM(I50:I53)+SUM(I57:I58)</f>
        <v>0</v>
      </c>
      <c r="K59" s="41"/>
    </row>
    <row r="60" spans="1:11" s="15" customFormat="1" ht="15.75" customHeight="1" x14ac:dyDescent="0.25">
      <c r="A60" s="39"/>
      <c r="B60" s="43" t="s">
        <v>258</v>
      </c>
      <c r="C60" s="1320"/>
      <c r="D60" s="1813"/>
      <c r="E60" s="1830">
        <f>D60/'A.1.Présentation structure'!$C$26*12</f>
        <v>0</v>
      </c>
      <c r="F60" s="1811"/>
      <c r="G60" s="927">
        <f t="shared" ref="G60:G73" si="6">E60+F60</f>
        <v>0</v>
      </c>
      <c r="H60" s="934"/>
      <c r="I60" s="960">
        <f t="shared" ref="I60:I73" si="7">G60-C60</f>
        <v>0</v>
      </c>
      <c r="K60" s="41"/>
    </row>
    <row r="61" spans="1:11" s="15" customFormat="1" ht="15.75" customHeight="1" x14ac:dyDescent="0.25">
      <c r="A61" s="39"/>
      <c r="B61" s="42" t="s">
        <v>256</v>
      </c>
      <c r="C61" s="1317"/>
      <c r="D61" s="1814"/>
      <c r="E61" s="1830">
        <f>D61/'A.1.Présentation structure'!$C$26*12</f>
        <v>0</v>
      </c>
      <c r="F61" s="954"/>
      <c r="G61" s="927">
        <f t="shared" si="6"/>
        <v>0</v>
      </c>
      <c r="H61" s="934"/>
      <c r="I61" s="960">
        <f t="shared" si="7"/>
        <v>0</v>
      </c>
      <c r="K61" s="31"/>
    </row>
    <row r="62" spans="1:11" s="15" customFormat="1" ht="15.75" customHeight="1" x14ac:dyDescent="0.25">
      <c r="A62" s="39"/>
      <c r="B62" s="971" t="s">
        <v>305</v>
      </c>
      <c r="C62" s="1318"/>
      <c r="D62" s="1819"/>
      <c r="E62" s="1831">
        <f>D62/'A.1.Présentation structure'!$C$26*12</f>
        <v>0</v>
      </c>
      <c r="F62" s="950"/>
      <c r="G62" s="929">
        <f t="shared" si="6"/>
        <v>0</v>
      </c>
      <c r="H62" s="934"/>
      <c r="I62" s="960">
        <f t="shared" si="7"/>
        <v>0</v>
      </c>
      <c r="K62" s="31"/>
    </row>
    <row r="63" spans="1:11" s="15" customFormat="1" ht="15.75" customHeight="1" thickBot="1" x14ac:dyDescent="0.3">
      <c r="A63" s="39"/>
      <c r="B63" s="374" t="s">
        <v>89</v>
      </c>
      <c r="C63" s="1321"/>
      <c r="D63" s="1820"/>
      <c r="E63" s="1837">
        <f>D63/'A.1.Présentation structure'!$C$26*12</f>
        <v>0</v>
      </c>
      <c r="F63" s="1838"/>
      <c r="G63" s="935">
        <f t="shared" si="6"/>
        <v>0</v>
      </c>
      <c r="H63" s="934"/>
      <c r="I63" s="962">
        <f t="shared" si="7"/>
        <v>0</v>
      </c>
      <c r="K63" s="41"/>
    </row>
    <row r="64" spans="1:11" s="15" customFormat="1" ht="15.75" customHeight="1" thickBot="1" x14ac:dyDescent="0.3">
      <c r="A64" s="39"/>
      <c r="B64" s="1100" t="s">
        <v>446</v>
      </c>
      <c r="C64" s="1356">
        <f>C59+C60+C61+C63</f>
        <v>0</v>
      </c>
      <c r="D64" s="1821">
        <f>D59+D60+D61+D63</f>
        <v>0</v>
      </c>
      <c r="E64" s="1833">
        <f>E59+E60+E61+E63</f>
        <v>0</v>
      </c>
      <c r="F64" s="1357">
        <f>F59+F60+F61+F63</f>
        <v>0</v>
      </c>
      <c r="G64" s="1358">
        <f>G59+G60+G61+G63</f>
        <v>0</v>
      </c>
      <c r="H64" s="934"/>
      <c r="I64" s="1108">
        <f>I59+I60+I61+I63</f>
        <v>0</v>
      </c>
      <c r="K64" s="41"/>
    </row>
    <row r="65" spans="1:11" ht="15.75" customHeight="1" x14ac:dyDescent="0.25">
      <c r="A65" s="12"/>
      <c r="B65" s="35" t="s">
        <v>283</v>
      </c>
      <c r="C65" s="1322"/>
      <c r="D65" s="1822"/>
      <c r="E65" s="1830">
        <f>D65/'A.1.Présentation structure'!$C$26*12</f>
        <v>0</v>
      </c>
      <c r="F65" s="952"/>
      <c r="G65" s="927">
        <f t="shared" si="6"/>
        <v>0</v>
      </c>
      <c r="H65" s="934"/>
      <c r="I65" s="960">
        <f t="shared" si="7"/>
        <v>0</v>
      </c>
      <c r="K65" s="41"/>
    </row>
    <row r="66" spans="1:11" ht="15.75" customHeight="1" x14ac:dyDescent="0.25">
      <c r="A66" s="12"/>
      <c r="B66" s="35" t="s">
        <v>273</v>
      </c>
      <c r="C66" s="1322"/>
      <c r="D66" s="1822"/>
      <c r="E66" s="1830">
        <f>D66/'A.1.Présentation structure'!$C$26*12</f>
        <v>0</v>
      </c>
      <c r="F66" s="952"/>
      <c r="G66" s="927">
        <f t="shared" si="6"/>
        <v>0</v>
      </c>
      <c r="H66" s="934"/>
      <c r="I66" s="960">
        <f t="shared" si="7"/>
        <v>0</v>
      </c>
      <c r="K66" s="31"/>
    </row>
    <row r="67" spans="1:11" ht="15.75" customHeight="1" x14ac:dyDescent="0.25">
      <c r="A67" s="12"/>
      <c r="B67" s="35" t="s">
        <v>274</v>
      </c>
      <c r="C67" s="1322"/>
      <c r="D67" s="1822"/>
      <c r="E67" s="1830">
        <f>D67/'A.1.Présentation structure'!$C$26*12</f>
        <v>0</v>
      </c>
      <c r="F67" s="952"/>
      <c r="G67" s="927">
        <f t="shared" si="6"/>
        <v>0</v>
      </c>
      <c r="H67" s="934"/>
      <c r="I67" s="960">
        <f t="shared" si="7"/>
        <v>0</v>
      </c>
      <c r="K67" s="41"/>
    </row>
    <row r="68" spans="1:11" ht="15.75" customHeight="1" x14ac:dyDescent="0.25">
      <c r="A68" s="12"/>
      <c r="B68" s="35" t="s">
        <v>275</v>
      </c>
      <c r="C68" s="1322"/>
      <c r="D68" s="1822"/>
      <c r="E68" s="1830">
        <f>D68/'A.1.Présentation structure'!$C$26*12</f>
        <v>0</v>
      </c>
      <c r="F68" s="952"/>
      <c r="G68" s="927">
        <f t="shared" si="6"/>
        <v>0</v>
      </c>
      <c r="H68" s="936"/>
      <c r="I68" s="960">
        <f t="shared" si="7"/>
        <v>0</v>
      </c>
      <c r="K68" s="41"/>
    </row>
    <row r="69" spans="1:11" ht="15.75" customHeight="1" x14ac:dyDescent="0.25">
      <c r="A69" s="12"/>
      <c r="B69" s="94" t="s">
        <v>98</v>
      </c>
      <c r="C69" s="1323"/>
      <c r="D69" s="1823"/>
      <c r="E69" s="1831">
        <f>D69/'A.1.Présentation structure'!$C$26*12</f>
        <v>0</v>
      </c>
      <c r="F69" s="957"/>
      <c r="G69" s="929">
        <f t="shared" si="6"/>
        <v>0</v>
      </c>
      <c r="H69" s="937"/>
      <c r="I69" s="960">
        <f t="shared" si="7"/>
        <v>0</v>
      </c>
      <c r="K69" s="31"/>
    </row>
    <row r="70" spans="1:11" ht="15.75" customHeight="1" x14ac:dyDescent="0.25">
      <c r="A70" s="12"/>
      <c r="B70" s="35" t="s">
        <v>276</v>
      </c>
      <c r="C70" s="1322"/>
      <c r="D70" s="1822"/>
      <c r="E70" s="1830">
        <f>D70/'A.1.Présentation structure'!$C$26*12</f>
        <v>0</v>
      </c>
      <c r="F70" s="952"/>
      <c r="G70" s="927">
        <f t="shared" si="6"/>
        <v>0</v>
      </c>
      <c r="H70" s="938"/>
      <c r="I70" s="960">
        <f t="shared" si="7"/>
        <v>0</v>
      </c>
      <c r="K70" s="41"/>
    </row>
    <row r="71" spans="1:11" ht="15.75" customHeight="1" x14ac:dyDescent="0.25">
      <c r="A71" s="12"/>
      <c r="B71" s="94" t="s">
        <v>98</v>
      </c>
      <c r="C71" s="1323"/>
      <c r="D71" s="1823"/>
      <c r="E71" s="1831">
        <f>D71/'A.1.Présentation structure'!$C$26*12</f>
        <v>0</v>
      </c>
      <c r="F71" s="957"/>
      <c r="G71" s="929">
        <f t="shared" si="6"/>
        <v>0</v>
      </c>
      <c r="H71" s="939"/>
      <c r="I71" s="960">
        <f t="shared" si="7"/>
        <v>0</v>
      </c>
      <c r="K71" s="41"/>
    </row>
    <row r="72" spans="1:11" ht="15.75" customHeight="1" x14ac:dyDescent="0.25">
      <c r="A72" s="83"/>
      <c r="B72" s="35" t="s">
        <v>445</v>
      </c>
      <c r="C72" s="1322"/>
      <c r="D72" s="1822"/>
      <c r="E72" s="1830">
        <f>D72/'A.1.Présentation structure'!$C$26*12</f>
        <v>0</v>
      </c>
      <c r="F72" s="952"/>
      <c r="G72" s="927">
        <f t="shared" si="6"/>
        <v>0</v>
      </c>
      <c r="H72" s="940"/>
      <c r="I72" s="960">
        <f t="shared" si="7"/>
        <v>0</v>
      </c>
      <c r="K72" s="31"/>
    </row>
    <row r="73" spans="1:11" ht="15.75" customHeight="1" x14ac:dyDescent="0.25">
      <c r="B73" s="35" t="s">
        <v>278</v>
      </c>
      <c r="C73" s="1322"/>
      <c r="D73" s="1822"/>
      <c r="E73" s="1831">
        <f>D73/'A.1.Présentation structure'!$C$26*12</f>
        <v>0</v>
      </c>
      <c r="F73" s="952"/>
      <c r="G73" s="927">
        <f t="shared" si="6"/>
        <v>0</v>
      </c>
      <c r="H73" s="934"/>
      <c r="I73" s="960">
        <f t="shared" si="7"/>
        <v>0</v>
      </c>
      <c r="K73" s="41"/>
    </row>
    <row r="74" spans="1:11" s="15" customFormat="1" ht="15.75" customHeight="1" x14ac:dyDescent="0.25">
      <c r="B74" s="58" t="s">
        <v>279</v>
      </c>
      <c r="C74" s="972">
        <f>SUM(C65:C73)-C69-C71</f>
        <v>0</v>
      </c>
      <c r="D74" s="1818">
        <f>SUM(D65:D73)-D69-D71</f>
        <v>0</v>
      </c>
      <c r="E74" s="1812">
        <f>SUM(E65:E73)-E69-E71</f>
        <v>0</v>
      </c>
      <c r="F74" s="1829">
        <f>SUM(F65:F73)-F69-F71</f>
        <v>0</v>
      </c>
      <c r="G74" s="941">
        <f>SUM(G65:G73)-G69-G71</f>
        <v>0</v>
      </c>
      <c r="H74" s="942"/>
      <c r="I74" s="963">
        <f>SUM(I65:I73)-I69-I71</f>
        <v>0</v>
      </c>
      <c r="K74" s="41"/>
    </row>
    <row r="75" spans="1:11" s="15" customFormat="1" ht="15.75" customHeight="1" x14ac:dyDescent="0.25">
      <c r="A75" s="84"/>
      <c r="B75" s="98" t="s">
        <v>257</v>
      </c>
      <c r="C75" s="1324"/>
      <c r="D75" s="1824"/>
      <c r="E75" s="1830">
        <f>D75/'A.1.Présentation structure'!$C$26*12</f>
        <v>0</v>
      </c>
      <c r="F75" s="951"/>
      <c r="G75" s="943">
        <f>E75+F75</f>
        <v>0</v>
      </c>
      <c r="H75" s="942"/>
      <c r="I75" s="964">
        <f>G75-C75</f>
        <v>0</v>
      </c>
      <c r="K75" s="31"/>
    </row>
    <row r="76" spans="1:11" s="15" customFormat="1" ht="15.75" customHeight="1" x14ac:dyDescent="0.25">
      <c r="A76" s="84"/>
      <c r="B76" s="99" t="s">
        <v>259</v>
      </c>
      <c r="C76" s="1322"/>
      <c r="D76" s="1822"/>
      <c r="E76" s="1830">
        <f>D76/'A.1.Présentation structure'!$C$26*12</f>
        <v>0</v>
      </c>
      <c r="F76" s="952"/>
      <c r="G76" s="944">
        <f>E76+F76</f>
        <v>0</v>
      </c>
      <c r="H76" s="942"/>
      <c r="I76" s="964">
        <f>G76-C76</f>
        <v>0</v>
      </c>
      <c r="K76" s="41"/>
    </row>
    <row r="77" spans="1:11" s="15" customFormat="1" ht="15.75" customHeight="1" thickBot="1" x14ac:dyDescent="0.3">
      <c r="A77" s="84"/>
      <c r="B77" s="374" t="s">
        <v>9</v>
      </c>
      <c r="C77" s="1325"/>
      <c r="D77" s="1825"/>
      <c r="E77" s="1837">
        <f>D77/'A.1.Présentation structure'!$C$26*12</f>
        <v>0</v>
      </c>
      <c r="F77" s="953"/>
      <c r="G77" s="945">
        <f>E77+F77</f>
        <v>0</v>
      </c>
      <c r="H77" s="942"/>
      <c r="I77" s="965">
        <f>G77-C77</f>
        <v>0</v>
      </c>
      <c r="K77" s="32"/>
    </row>
    <row r="78" spans="1:11" s="15" customFormat="1" ht="15.75" customHeight="1" thickBot="1" x14ac:dyDescent="0.3">
      <c r="A78" s="82"/>
      <c r="B78" s="58" t="s">
        <v>447</v>
      </c>
      <c r="C78" s="1359">
        <f>C74+C75+C76+C77</f>
        <v>0</v>
      </c>
      <c r="D78" s="1826">
        <f>D74+D75+D76+D77</f>
        <v>0</v>
      </c>
      <c r="E78" s="1833">
        <f>E74+E75+E76+E77</f>
        <v>0</v>
      </c>
      <c r="F78" s="1357">
        <f>F74+F75+F76+F77</f>
        <v>0</v>
      </c>
      <c r="G78" s="945">
        <f>G74+G75+G76+G77</f>
        <v>0</v>
      </c>
      <c r="H78" s="942"/>
      <c r="I78" s="1108">
        <f>I74+I75+I76+I77</f>
        <v>0</v>
      </c>
      <c r="K78" s="32"/>
    </row>
    <row r="79" spans="1:11" ht="15" thickBot="1" x14ac:dyDescent="0.3">
      <c r="B79" s="1101" t="s">
        <v>260</v>
      </c>
      <c r="C79" s="993">
        <f>C59-C74</f>
        <v>0</v>
      </c>
      <c r="D79" s="1827">
        <f>D59-D74</f>
        <v>0</v>
      </c>
      <c r="E79" s="994">
        <f>E59-E74</f>
        <v>0</v>
      </c>
      <c r="F79" s="994">
        <f>F59-F74</f>
        <v>0</v>
      </c>
      <c r="G79" s="995">
        <f>G59-G74</f>
        <v>0</v>
      </c>
      <c r="H79" s="946"/>
      <c r="I79" s="966">
        <f>I59-I74</f>
        <v>0</v>
      </c>
      <c r="K79" s="25"/>
    </row>
    <row r="80" spans="1:11" ht="15" thickBot="1" x14ac:dyDescent="0.3">
      <c r="B80" s="1102" t="s">
        <v>123</v>
      </c>
      <c r="C80" s="996">
        <f>C79+C60+C61+C63-C75-C76-C77</f>
        <v>0</v>
      </c>
      <c r="D80" s="997">
        <f>D79+D60+D61+D63-D75-D76-D77</f>
        <v>0</v>
      </c>
      <c r="E80" s="997">
        <f>E79+E60+E61+E63-E75-E76-E77</f>
        <v>0</v>
      </c>
      <c r="F80" s="997">
        <f>F79+F60+F61+F63-F75-F76-F77</f>
        <v>0</v>
      </c>
      <c r="G80" s="998">
        <f>G79+G60+G61+G63-G75-G76-G77</f>
        <v>0</v>
      </c>
      <c r="H80" s="947"/>
      <c r="I80" s="967">
        <f>I79+I60+I61+I63-I75-I76-I77</f>
        <v>0</v>
      </c>
      <c r="K80" s="25"/>
    </row>
    <row r="81" spans="1:11" x14ac:dyDescent="0.25">
      <c r="B81" s="1104" t="s">
        <v>122</v>
      </c>
      <c r="C81" s="1326"/>
      <c r="D81" s="1635"/>
      <c r="E81" s="1834"/>
      <c r="F81" s="1105"/>
      <c r="G81" s="1106">
        <f>C81+F81</f>
        <v>0</v>
      </c>
      <c r="H81" s="947"/>
      <c r="I81" s="1107">
        <f>G81-C81</f>
        <v>0</v>
      </c>
    </row>
    <row r="82" spans="1:11" x14ac:dyDescent="0.25">
      <c r="B82" s="157" t="s">
        <v>99</v>
      </c>
      <c r="C82" s="1318"/>
      <c r="D82" s="1635"/>
      <c r="E82" s="1834"/>
      <c r="F82" s="958"/>
      <c r="G82" s="948">
        <f>C82+F82</f>
        <v>0</v>
      </c>
      <c r="H82" s="947"/>
      <c r="I82" s="968">
        <f>G82-C82</f>
        <v>0</v>
      </c>
    </row>
    <row r="83" spans="1:11" x14ac:dyDescent="0.25">
      <c r="B83" s="93" t="s">
        <v>87</v>
      </c>
      <c r="C83" s="1327"/>
      <c r="D83" s="1636"/>
      <c r="E83" s="1835"/>
      <c r="F83" s="959"/>
      <c r="G83" s="949">
        <f>C83+F83</f>
        <v>0</v>
      </c>
      <c r="H83" s="947"/>
      <c r="I83" s="969">
        <f>G83-C83</f>
        <v>0</v>
      </c>
    </row>
    <row r="84" spans="1:11" x14ac:dyDescent="0.25">
      <c r="C84" s="387"/>
      <c r="D84" s="387"/>
      <c r="E84" s="387"/>
      <c r="F84" s="387"/>
      <c r="G84" s="387"/>
    </row>
    <row r="85" spans="1:11" x14ac:dyDescent="0.25">
      <c r="C85" s="387"/>
      <c r="D85" s="387"/>
      <c r="E85" s="387"/>
      <c r="F85" s="387"/>
      <c r="G85" s="387"/>
    </row>
    <row r="86" spans="1:11" ht="24" thickBot="1" x14ac:dyDescent="0.3">
      <c r="B86" s="2015" t="s">
        <v>311</v>
      </c>
      <c r="C86" s="2016"/>
      <c r="D86" s="2016"/>
      <c r="E86" s="2016"/>
      <c r="F86" s="2016"/>
      <c r="G86" s="2016"/>
      <c r="H86" s="2016"/>
      <c r="I86" s="2016"/>
      <c r="J86" s="2016"/>
      <c r="K86" s="2017"/>
    </row>
    <row r="87" spans="1:11" ht="15" thickTop="1" x14ac:dyDescent="0.25">
      <c r="A87" s="188"/>
      <c r="B87" s="2018"/>
      <c r="C87" s="2019"/>
      <c r="D87" s="2019"/>
      <c r="E87" s="2019"/>
      <c r="F87" s="2019"/>
      <c r="G87" s="2019"/>
      <c r="H87" s="2019"/>
      <c r="I87" s="2019"/>
      <c r="J87" s="2019"/>
      <c r="K87" s="2020"/>
    </row>
    <row r="88" spans="1:11" x14ac:dyDescent="0.25">
      <c r="A88" s="188"/>
      <c r="B88" s="2021"/>
      <c r="C88" s="2022"/>
      <c r="D88" s="2022"/>
      <c r="E88" s="2022"/>
      <c r="F88" s="2022"/>
      <c r="G88" s="2022"/>
      <c r="H88" s="2022"/>
      <c r="I88" s="2022"/>
      <c r="J88" s="2022"/>
      <c r="K88" s="2023"/>
    </row>
    <row r="89" spans="1:11" x14ac:dyDescent="0.25">
      <c r="A89" s="188"/>
      <c r="B89" s="2021"/>
      <c r="C89" s="2022"/>
      <c r="D89" s="2022"/>
      <c r="E89" s="2022"/>
      <c r="F89" s="2022"/>
      <c r="G89" s="2022"/>
      <c r="H89" s="2022"/>
      <c r="I89" s="2022"/>
      <c r="J89" s="2022"/>
      <c r="K89" s="2023"/>
    </row>
    <row r="90" spans="1:11" x14ac:dyDescent="0.25">
      <c r="A90" s="188"/>
      <c r="B90" s="2021"/>
      <c r="C90" s="2022"/>
      <c r="D90" s="2022"/>
      <c r="E90" s="2022"/>
      <c r="F90" s="2022"/>
      <c r="G90" s="2022"/>
      <c r="H90" s="2022"/>
      <c r="I90" s="2022"/>
      <c r="J90" s="2022"/>
      <c r="K90" s="2023"/>
    </row>
    <row r="91" spans="1:11" x14ac:dyDescent="0.25">
      <c r="A91" s="188"/>
      <c r="B91" s="2021"/>
      <c r="C91" s="2022"/>
      <c r="D91" s="2022"/>
      <c r="E91" s="2022"/>
      <c r="F91" s="2022"/>
      <c r="G91" s="2022"/>
      <c r="H91" s="2022"/>
      <c r="I91" s="2022"/>
      <c r="J91" s="2022"/>
      <c r="K91" s="2023"/>
    </row>
    <row r="92" spans="1:11" x14ac:dyDescent="0.25">
      <c r="A92" s="188"/>
      <c r="B92" s="2021"/>
      <c r="C92" s="2022"/>
      <c r="D92" s="2022"/>
      <c r="E92" s="2022"/>
      <c r="F92" s="2022"/>
      <c r="G92" s="2022"/>
      <c r="H92" s="2022"/>
      <c r="I92" s="2022"/>
      <c r="J92" s="2022"/>
      <c r="K92" s="2023"/>
    </row>
    <row r="93" spans="1:11" x14ac:dyDescent="0.25">
      <c r="A93" s="188"/>
      <c r="B93" s="2021"/>
      <c r="C93" s="2022"/>
      <c r="D93" s="2022"/>
      <c r="E93" s="2022"/>
      <c r="F93" s="2022"/>
      <c r="G93" s="2022"/>
      <c r="H93" s="2022"/>
      <c r="I93" s="2022"/>
      <c r="J93" s="2022"/>
      <c r="K93" s="2023"/>
    </row>
    <row r="94" spans="1:11" x14ac:dyDescent="0.25">
      <c r="A94" s="188"/>
      <c r="B94" s="2021"/>
      <c r="C94" s="2022"/>
      <c r="D94" s="2022"/>
      <c r="E94" s="2022"/>
      <c r="F94" s="2022"/>
      <c r="G94" s="2022"/>
      <c r="H94" s="2022"/>
      <c r="I94" s="2022"/>
      <c r="J94" s="2022"/>
      <c r="K94" s="2023"/>
    </row>
    <row r="95" spans="1:11" x14ac:dyDescent="0.25">
      <c r="A95" s="188"/>
      <c r="B95" s="2021"/>
      <c r="C95" s="2022"/>
      <c r="D95" s="2022"/>
      <c r="E95" s="2022"/>
      <c r="F95" s="2022"/>
      <c r="G95" s="2022"/>
      <c r="H95" s="2022"/>
      <c r="I95" s="2022"/>
      <c r="J95" s="2022"/>
      <c r="K95" s="2023"/>
    </row>
    <row r="96" spans="1:11" ht="15" thickBot="1" x14ac:dyDescent="0.3">
      <c r="A96" s="188"/>
      <c r="B96" s="2024"/>
      <c r="C96" s="2025"/>
      <c r="D96" s="2025"/>
      <c r="E96" s="2025"/>
      <c r="F96" s="2025"/>
      <c r="G96" s="2025"/>
      <c r="H96" s="2025"/>
      <c r="I96" s="2025"/>
      <c r="J96" s="2025"/>
      <c r="K96" s="2026"/>
    </row>
    <row r="97" ht="15" thickTop="1" x14ac:dyDescent="0.25"/>
  </sheetData>
  <sheetProtection password="CC57" sheet="1" objects="1" scenarios="1"/>
  <protectedRanges>
    <protectedRange sqref="C6:E7 C9:E12 C15:E15 I6:K7 I9:K12 I15:K15" name="Plage1"/>
    <protectedRange sqref="C24:E32 C34:E36 I24:K32 I34:K39" name="Plage2"/>
    <protectedRange sqref="C50:D58 F50:F58 C60:D63 F60:F63 C65:D73 F65:F73 C75:D77 F75:F77 C81:C83 F81:F83" name="Plage5"/>
  </protectedRanges>
  <mergeCells count="39">
    <mergeCell ref="B2:K2"/>
    <mergeCell ref="B20:K20"/>
    <mergeCell ref="F5:H5"/>
    <mergeCell ref="B46:K46"/>
    <mergeCell ref="F6:H6"/>
    <mergeCell ref="F24:H24"/>
    <mergeCell ref="F25:H25"/>
    <mergeCell ref="F26:H26"/>
    <mergeCell ref="F27:H27"/>
    <mergeCell ref="F28:H28"/>
    <mergeCell ref="F29:H29"/>
    <mergeCell ref="F30:H30"/>
    <mergeCell ref="F32:H32"/>
    <mergeCell ref="F33:H33"/>
    <mergeCell ref="F37:H37"/>
    <mergeCell ref="F38:H38"/>
    <mergeCell ref="B86:K86"/>
    <mergeCell ref="B87:K96"/>
    <mergeCell ref="F39:H39"/>
    <mergeCell ref="F23:H23"/>
    <mergeCell ref="I48:I49"/>
    <mergeCell ref="E48:E49"/>
    <mergeCell ref="F48:F49"/>
    <mergeCell ref="G48:G49"/>
    <mergeCell ref="C48:C49"/>
    <mergeCell ref="F34:H34"/>
    <mergeCell ref="F35:H35"/>
    <mergeCell ref="F36:H36"/>
    <mergeCell ref="F40:H40"/>
    <mergeCell ref="F7:H7"/>
    <mergeCell ref="F8:H8"/>
    <mergeCell ref="F9:H9"/>
    <mergeCell ref="F10:H10"/>
    <mergeCell ref="F11:H11"/>
    <mergeCell ref="F12:H12"/>
    <mergeCell ref="F13:H13"/>
    <mergeCell ref="F14:H14"/>
    <mergeCell ref="F15:H15"/>
    <mergeCell ref="F31:H31"/>
  </mergeCells>
  <phoneticPr fontId="50" type="noConversion"/>
  <printOptions horizontalCentered="1"/>
  <pageMargins left="0.70866141732283472" right="0.70866141732283472" top="0.74803149606299213" bottom="0.74803149606299213" header="0.31496062992125984" footer="0.31496062992125984"/>
  <pageSetup paperSize="9" scale="55" orientation="portrait"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Q80"/>
  <sheetViews>
    <sheetView showGridLines="0" zoomScale="90" zoomScaleNormal="90" zoomScaleSheetLayoutView="100" workbookViewId="0">
      <selection activeCell="M90" sqref="M90"/>
    </sheetView>
  </sheetViews>
  <sheetFormatPr baseColWidth="10" defaultColWidth="10.85546875" defaultRowHeight="12.75" x14ac:dyDescent="0.25"/>
  <cols>
    <col min="1" max="1" width="1.140625" style="3" customWidth="1"/>
    <col min="2" max="2" width="44.5703125" style="3" customWidth="1"/>
    <col min="3" max="3" width="8.42578125" style="3" customWidth="1"/>
    <col min="4" max="10" width="8.42578125" style="5" customWidth="1"/>
    <col min="11" max="13" width="10.42578125" style="5" customWidth="1"/>
    <col min="14" max="14" width="8.42578125" style="3" customWidth="1"/>
    <col min="15" max="15" width="10.85546875" style="3"/>
    <col min="16" max="16" width="10.85546875" style="3" customWidth="1"/>
    <col min="17" max="16384" width="10.85546875" style="3"/>
  </cols>
  <sheetData>
    <row r="1" spans="1:17" ht="26.25" customHeight="1" thickBot="1" x14ac:dyDescent="0.3">
      <c r="B1" s="2051" t="s">
        <v>69</v>
      </c>
      <c r="C1" s="2052"/>
      <c r="D1" s="2052"/>
      <c r="E1" s="2052"/>
      <c r="F1" s="2052"/>
      <c r="G1" s="2052"/>
      <c r="H1" s="2052"/>
      <c r="I1" s="2052"/>
      <c r="J1" s="2052"/>
      <c r="K1" s="2052"/>
      <c r="L1" s="2052"/>
      <c r="M1" s="2052"/>
      <c r="N1" s="2063"/>
    </row>
    <row r="2" spans="1:17" ht="13.5" customHeight="1" thickTop="1" x14ac:dyDescent="0.25">
      <c r="B2" s="7"/>
      <c r="C2" s="7"/>
      <c r="D2" s="7"/>
      <c r="E2" s="7"/>
      <c r="F2" s="7"/>
      <c r="G2" s="7"/>
      <c r="H2" s="7"/>
      <c r="I2" s="7"/>
      <c r="J2" s="7"/>
      <c r="K2" s="7"/>
      <c r="L2" s="7"/>
      <c r="M2" s="7"/>
      <c r="N2" s="7"/>
    </row>
    <row r="3" spans="1:17" ht="13.5" customHeight="1" x14ac:dyDescent="0.25">
      <c r="B3" s="86"/>
      <c r="C3" s="86"/>
      <c r="D3" s="161"/>
      <c r="E3" s="161"/>
      <c r="F3" s="161"/>
      <c r="G3" s="161"/>
      <c r="H3" s="161"/>
      <c r="I3" s="161"/>
      <c r="J3" s="161"/>
      <c r="K3" s="163"/>
      <c r="L3" s="162"/>
      <c r="M3" s="163"/>
      <c r="N3" s="164"/>
    </row>
    <row r="4" spans="1:17" ht="20.25" hidden="1" customHeight="1" x14ac:dyDescent="0.25">
      <c r="A4" s="753"/>
      <c r="B4" s="2077">
        <f>B17-1</f>
        <v>2014</v>
      </c>
      <c r="C4" s="2075" t="s">
        <v>535</v>
      </c>
      <c r="D4" s="2066" t="s">
        <v>475</v>
      </c>
      <c r="E4" s="2067"/>
      <c r="F4" s="2067"/>
      <c r="G4" s="2067"/>
      <c r="H4" s="2067"/>
      <c r="I4" s="2067"/>
      <c r="J4" s="2068"/>
      <c r="K4" s="2069" t="s">
        <v>76</v>
      </c>
      <c r="L4" s="2069"/>
      <c r="M4" s="2070"/>
      <c r="N4" s="2072" t="s">
        <v>433</v>
      </c>
    </row>
    <row r="5" spans="1:17" ht="27" hidden="1" customHeight="1" x14ac:dyDescent="0.25">
      <c r="A5" s="753"/>
      <c r="B5" s="2078"/>
      <c r="C5" s="2076"/>
      <c r="D5" s="974" t="s">
        <v>449</v>
      </c>
      <c r="E5" s="975" t="s">
        <v>450</v>
      </c>
      <c r="F5" s="975" t="s">
        <v>451</v>
      </c>
      <c r="G5" s="1111" t="s">
        <v>473</v>
      </c>
      <c r="H5" s="1244" t="s">
        <v>474</v>
      </c>
      <c r="I5" s="1110" t="s">
        <v>452</v>
      </c>
      <c r="J5" s="1665" t="s">
        <v>448</v>
      </c>
      <c r="K5" s="1041" t="s">
        <v>431</v>
      </c>
      <c r="L5" s="1120" t="s">
        <v>432</v>
      </c>
      <c r="M5" s="1119" t="s">
        <v>78</v>
      </c>
      <c r="N5" s="2074"/>
    </row>
    <row r="6" spans="1:17" ht="19.5" hidden="1" customHeight="1" x14ac:dyDescent="0.25">
      <c r="B6" s="751" t="s">
        <v>79</v>
      </c>
      <c r="C6" s="1663"/>
      <c r="D6" s="745"/>
      <c r="E6" s="745"/>
      <c r="F6" s="1109"/>
      <c r="G6" s="1112"/>
      <c r="H6" s="1109"/>
      <c r="I6" s="1113"/>
      <c r="J6" s="1115">
        <f>SUM(D6:I6)</f>
        <v>0</v>
      </c>
      <c r="K6" s="1072"/>
      <c r="L6" s="1075"/>
      <c r="M6" s="1073"/>
      <c r="N6" s="1074"/>
      <c r="Q6" s="86"/>
    </row>
    <row r="7" spans="1:17" ht="19.5" hidden="1" customHeight="1" x14ac:dyDescent="0.25">
      <c r="B7" s="751" t="s">
        <v>297</v>
      </c>
      <c r="C7" s="1664"/>
      <c r="D7" s="746"/>
      <c r="E7" s="746"/>
      <c r="F7" s="747"/>
      <c r="G7" s="1112"/>
      <c r="H7" s="1112"/>
      <c r="I7" s="1114"/>
      <c r="J7" s="1115">
        <f t="shared" ref="J7:J13" si="0">SUM(D7:I7)</f>
        <v>0</v>
      </c>
      <c r="K7" s="748"/>
      <c r="L7" s="752"/>
      <c r="M7" s="749">
        <f t="shared" ref="M7:M13" si="1">K7+L7</f>
        <v>0</v>
      </c>
      <c r="N7" s="415" t="str">
        <f>IF(($J$14-$J$6)=0, "0%", J7/($J$14-$J$6))</f>
        <v>0%</v>
      </c>
      <c r="O7" s="4"/>
      <c r="Q7" s="86"/>
    </row>
    <row r="8" spans="1:17" ht="19.5" hidden="1" customHeight="1" x14ac:dyDescent="0.25">
      <c r="B8" s="751" t="s">
        <v>298</v>
      </c>
      <c r="C8" s="1664"/>
      <c r="D8" s="746"/>
      <c r="E8" s="746"/>
      <c r="F8" s="746"/>
      <c r="G8" s="1112"/>
      <c r="H8" s="1112"/>
      <c r="I8" s="1114"/>
      <c r="J8" s="1115">
        <f t="shared" si="0"/>
        <v>0</v>
      </c>
      <c r="K8" s="748"/>
      <c r="L8" s="752"/>
      <c r="M8" s="749">
        <f t="shared" si="1"/>
        <v>0</v>
      </c>
      <c r="N8" s="415" t="str">
        <f t="shared" ref="N8:N13" si="2">IF(($J$14-$J$6)=0, "0%", J8/($J$14-$J$6))</f>
        <v>0%</v>
      </c>
    </row>
    <row r="9" spans="1:17" ht="19.5" hidden="1" customHeight="1" x14ac:dyDescent="0.25">
      <c r="B9" s="751" t="s">
        <v>101</v>
      </c>
      <c r="C9" s="1664"/>
      <c r="D9" s="746"/>
      <c r="E9" s="746"/>
      <c r="F9" s="746"/>
      <c r="G9" s="1112"/>
      <c r="H9" s="1112"/>
      <c r="I9" s="1114"/>
      <c r="J9" s="1115">
        <f t="shared" si="0"/>
        <v>0</v>
      </c>
      <c r="K9" s="748"/>
      <c r="L9" s="1075"/>
      <c r="M9" s="749">
        <f t="shared" si="1"/>
        <v>0</v>
      </c>
      <c r="N9" s="415" t="str">
        <f t="shared" si="2"/>
        <v>0%</v>
      </c>
      <c r="Q9" s="174"/>
    </row>
    <row r="10" spans="1:17" ht="19.5" hidden="1" customHeight="1" x14ac:dyDescent="0.25">
      <c r="B10" s="751" t="s">
        <v>166</v>
      </c>
      <c r="C10" s="1664"/>
      <c r="D10" s="746"/>
      <c r="E10" s="746"/>
      <c r="F10" s="746"/>
      <c r="G10" s="1112"/>
      <c r="H10" s="1112"/>
      <c r="I10" s="1114"/>
      <c r="J10" s="1115">
        <f t="shared" si="0"/>
        <v>0</v>
      </c>
      <c r="K10" s="748"/>
      <c r="L10" s="752"/>
      <c r="M10" s="749">
        <f t="shared" si="1"/>
        <v>0</v>
      </c>
      <c r="N10" s="415" t="str">
        <f t="shared" si="2"/>
        <v>0%</v>
      </c>
    </row>
    <row r="11" spans="1:17" ht="19.5" hidden="1" customHeight="1" x14ac:dyDescent="0.25">
      <c r="B11" s="751" t="s">
        <v>495</v>
      </c>
      <c r="C11" s="1664"/>
      <c r="D11" s="746"/>
      <c r="E11" s="746"/>
      <c r="F11" s="746"/>
      <c r="G11" s="1112"/>
      <c r="H11" s="1112"/>
      <c r="I11" s="1114"/>
      <c r="J11" s="1115">
        <f t="shared" si="0"/>
        <v>0</v>
      </c>
      <c r="K11" s="1075"/>
      <c r="L11" s="1075"/>
      <c r="M11" s="749">
        <f t="shared" si="1"/>
        <v>0</v>
      </c>
      <c r="N11" s="415" t="str">
        <f t="shared" si="2"/>
        <v>0%</v>
      </c>
    </row>
    <row r="12" spans="1:17" ht="19.5" hidden="1" customHeight="1" x14ac:dyDescent="0.25">
      <c r="B12" s="751" t="s">
        <v>496</v>
      </c>
      <c r="C12" s="1664"/>
      <c r="D12" s="746"/>
      <c r="E12" s="746"/>
      <c r="F12" s="746"/>
      <c r="G12" s="1112"/>
      <c r="H12" s="1112"/>
      <c r="I12" s="1114"/>
      <c r="J12" s="1115">
        <f t="shared" si="0"/>
        <v>0</v>
      </c>
      <c r="K12" s="1075"/>
      <c r="L12" s="1075"/>
      <c r="M12" s="749">
        <f t="shared" ref="M12" si="3">K12+L12</f>
        <v>0</v>
      </c>
      <c r="N12" s="415" t="str">
        <f t="shared" si="2"/>
        <v>0%</v>
      </c>
    </row>
    <row r="13" spans="1:17" ht="19.5" hidden="1" customHeight="1" x14ac:dyDescent="0.25">
      <c r="B13" s="751" t="s">
        <v>71</v>
      </c>
      <c r="C13" s="1664"/>
      <c r="D13" s="746"/>
      <c r="E13" s="746"/>
      <c r="F13" s="746"/>
      <c r="G13" s="1112"/>
      <c r="H13" s="1112"/>
      <c r="I13" s="1114"/>
      <c r="J13" s="1115">
        <f t="shared" si="0"/>
        <v>0</v>
      </c>
      <c r="K13" s="748"/>
      <c r="L13" s="752"/>
      <c r="M13" s="749">
        <f t="shared" si="1"/>
        <v>0</v>
      </c>
      <c r="N13" s="415" t="str">
        <f t="shared" si="2"/>
        <v>0%</v>
      </c>
    </row>
    <row r="14" spans="1:17" ht="19.5" hidden="1" customHeight="1" thickBot="1" x14ac:dyDescent="0.3">
      <c r="B14" s="1651" t="s">
        <v>78</v>
      </c>
      <c r="C14" s="1652">
        <f>SUM(C6:C13)</f>
        <v>0</v>
      </c>
      <c r="D14" s="1650">
        <f t="shared" ref="D14:N14" si="4">SUM(D6:D13)</f>
        <v>0</v>
      </c>
      <c r="E14" s="1131">
        <f t="shared" si="4"/>
        <v>0</v>
      </c>
      <c r="F14" s="1132">
        <f t="shared" si="4"/>
        <v>0</v>
      </c>
      <c r="G14" s="1132">
        <f t="shared" si="4"/>
        <v>0</v>
      </c>
      <c r="H14" s="1132">
        <f t="shared" si="4"/>
        <v>0</v>
      </c>
      <c r="I14" s="1133">
        <f t="shared" si="4"/>
        <v>0</v>
      </c>
      <c r="J14" s="1666">
        <f>SUM(J6:J13)</f>
        <v>0</v>
      </c>
      <c r="K14" s="1134">
        <f>K7+K8+K9+K10+K13</f>
        <v>0</v>
      </c>
      <c r="L14" s="1135">
        <f>L7+L8+L10+L13</f>
        <v>0</v>
      </c>
      <c r="M14" s="1136">
        <f t="shared" si="4"/>
        <v>0</v>
      </c>
      <c r="N14" s="1137">
        <f t="shared" si="4"/>
        <v>0</v>
      </c>
    </row>
    <row r="15" spans="1:17" ht="19.5" hidden="1" customHeight="1" x14ac:dyDescent="0.25">
      <c r="B15" s="1653"/>
      <c r="C15" s="1654"/>
      <c r="D15" s="161"/>
      <c r="E15" s="161"/>
      <c r="F15" s="161"/>
      <c r="G15" s="161"/>
      <c r="H15" s="161"/>
      <c r="I15" s="161"/>
      <c r="J15" s="161"/>
      <c r="K15" s="1655"/>
      <c r="L15" s="1655"/>
      <c r="M15" s="1655"/>
      <c r="N15" s="1656"/>
    </row>
    <row r="16" spans="1:17" ht="15" hidden="1" customHeight="1" x14ac:dyDescent="0.25"/>
    <row r="17" spans="1:15" ht="20.25" hidden="1" customHeight="1" x14ac:dyDescent="0.25">
      <c r="A17" s="753"/>
      <c r="B17" s="2064">
        <f>B30-1</f>
        <v>2015</v>
      </c>
      <c r="C17" s="2075" t="s">
        <v>535</v>
      </c>
      <c r="D17" s="2066" t="s">
        <v>475</v>
      </c>
      <c r="E17" s="2067"/>
      <c r="F17" s="2067"/>
      <c r="G17" s="2067"/>
      <c r="H17" s="2067"/>
      <c r="I17" s="2067"/>
      <c r="J17" s="2068"/>
      <c r="K17" s="2071" t="s">
        <v>76</v>
      </c>
      <c r="L17" s="2069"/>
      <c r="M17" s="2070"/>
      <c r="N17" s="2072" t="s">
        <v>433</v>
      </c>
    </row>
    <row r="18" spans="1:15" ht="27" hidden="1" customHeight="1" x14ac:dyDescent="0.25">
      <c r="A18" s="753"/>
      <c r="B18" s="2065"/>
      <c r="C18" s="2076"/>
      <c r="D18" s="974" t="s">
        <v>449</v>
      </c>
      <c r="E18" s="975" t="s">
        <v>450</v>
      </c>
      <c r="F18" s="975" t="s">
        <v>451</v>
      </c>
      <c r="G18" s="1111" t="s">
        <v>473</v>
      </c>
      <c r="H18" s="1244" t="s">
        <v>474</v>
      </c>
      <c r="I18" s="1110" t="s">
        <v>452</v>
      </c>
      <c r="J18" s="1665" t="s">
        <v>448</v>
      </c>
      <c r="K18" s="1121" t="s">
        <v>431</v>
      </c>
      <c r="L18" s="1120" t="s">
        <v>432</v>
      </c>
      <c r="M18" s="1119" t="s">
        <v>78</v>
      </c>
      <c r="N18" s="2073"/>
    </row>
    <row r="19" spans="1:15" ht="19.5" hidden="1" customHeight="1" x14ac:dyDescent="0.25">
      <c r="A19" s="753"/>
      <c r="B19" s="781" t="s">
        <v>79</v>
      </c>
      <c r="C19" s="1663"/>
      <c r="D19" s="745"/>
      <c r="E19" s="745"/>
      <c r="F19" s="1109"/>
      <c r="G19" s="1109"/>
      <c r="H19" s="1109"/>
      <c r="I19" s="1116"/>
      <c r="J19" s="1115">
        <f>SUM(D19:I19)</f>
        <v>0</v>
      </c>
      <c r="K19" s="1075"/>
      <c r="L19" s="1076"/>
      <c r="M19" s="1073"/>
      <c r="N19" s="1074"/>
    </row>
    <row r="20" spans="1:15" ht="19.5" hidden="1" customHeight="1" x14ac:dyDescent="0.25">
      <c r="A20" s="753"/>
      <c r="B20" s="782" t="s">
        <v>297</v>
      </c>
      <c r="C20" s="1664"/>
      <c r="D20" s="746"/>
      <c r="E20" s="746"/>
      <c r="F20" s="1118"/>
      <c r="G20" s="1112"/>
      <c r="H20" s="1112"/>
      <c r="I20" s="1117"/>
      <c r="J20" s="1115">
        <f t="shared" ref="J20:J26" si="5">SUM(D20:I20)</f>
        <v>0</v>
      </c>
      <c r="K20" s="752"/>
      <c r="L20" s="750"/>
      <c r="M20" s="749">
        <f t="shared" ref="M20:M26" si="6">K20+L20</f>
        <v>0</v>
      </c>
      <c r="N20" s="415" t="str">
        <f t="shared" ref="N20:N26" si="7">IF(($J$27-$J$19)=0, "0%", J20/($J$27-$J$19))</f>
        <v>0%</v>
      </c>
      <c r="O20" s="4"/>
    </row>
    <row r="21" spans="1:15" ht="19.5" hidden="1" customHeight="1" x14ac:dyDescent="0.25">
      <c r="A21" s="753"/>
      <c r="B21" s="782" t="s">
        <v>298</v>
      </c>
      <c r="C21" s="1664"/>
      <c r="D21" s="746"/>
      <c r="E21" s="746"/>
      <c r="F21" s="1112"/>
      <c r="G21" s="1112"/>
      <c r="H21" s="1112"/>
      <c r="I21" s="1117"/>
      <c r="J21" s="1115">
        <f t="shared" si="5"/>
        <v>0</v>
      </c>
      <c r="K21" s="752"/>
      <c r="L21" s="750"/>
      <c r="M21" s="749">
        <f t="shared" si="6"/>
        <v>0</v>
      </c>
      <c r="N21" s="415" t="str">
        <f t="shared" si="7"/>
        <v>0%</v>
      </c>
    </row>
    <row r="22" spans="1:15" ht="19.5" hidden="1" customHeight="1" x14ac:dyDescent="0.25">
      <c r="A22" s="753"/>
      <c r="B22" s="782" t="s">
        <v>101</v>
      </c>
      <c r="C22" s="1664"/>
      <c r="D22" s="746"/>
      <c r="E22" s="746"/>
      <c r="F22" s="746"/>
      <c r="G22" s="1112"/>
      <c r="H22" s="1112"/>
      <c r="I22" s="1117"/>
      <c r="J22" s="1115">
        <f t="shared" si="5"/>
        <v>0</v>
      </c>
      <c r="K22" s="752"/>
      <c r="L22" s="1076"/>
      <c r="M22" s="749">
        <f t="shared" si="6"/>
        <v>0</v>
      </c>
      <c r="N22" s="415" t="str">
        <f t="shared" si="7"/>
        <v>0%</v>
      </c>
    </row>
    <row r="23" spans="1:15" ht="19.5" hidden="1" customHeight="1" x14ac:dyDescent="0.25">
      <c r="A23" s="753"/>
      <c r="B23" s="782" t="s">
        <v>166</v>
      </c>
      <c r="C23" s="1664"/>
      <c r="D23" s="746"/>
      <c r="E23" s="746"/>
      <c r="F23" s="746"/>
      <c r="G23" s="1112"/>
      <c r="H23" s="1112"/>
      <c r="I23" s="1117"/>
      <c r="J23" s="1115">
        <f t="shared" si="5"/>
        <v>0</v>
      </c>
      <c r="K23" s="752"/>
      <c r="L23" s="750"/>
      <c r="M23" s="749">
        <f t="shared" si="6"/>
        <v>0</v>
      </c>
      <c r="N23" s="415" t="str">
        <f t="shared" si="7"/>
        <v>0%</v>
      </c>
    </row>
    <row r="24" spans="1:15" ht="19.5" hidden="1" customHeight="1" x14ac:dyDescent="0.25">
      <c r="A24" s="753"/>
      <c r="B24" s="751" t="s">
        <v>495</v>
      </c>
      <c r="C24" s="1664"/>
      <c r="D24" s="746"/>
      <c r="E24" s="746"/>
      <c r="F24" s="746"/>
      <c r="G24" s="1112"/>
      <c r="H24" s="1112"/>
      <c r="I24" s="1117"/>
      <c r="J24" s="1115">
        <f t="shared" si="5"/>
        <v>0</v>
      </c>
      <c r="K24" s="1075"/>
      <c r="L24" s="1075"/>
      <c r="M24" s="749">
        <f t="shared" si="6"/>
        <v>0</v>
      </c>
      <c r="N24" s="415" t="str">
        <f t="shared" si="7"/>
        <v>0%</v>
      </c>
    </row>
    <row r="25" spans="1:15" ht="19.5" hidden="1" customHeight="1" x14ac:dyDescent="0.25">
      <c r="A25" s="753"/>
      <c r="B25" s="751" t="s">
        <v>496</v>
      </c>
      <c r="C25" s="1664"/>
      <c r="D25" s="746"/>
      <c r="E25" s="746"/>
      <c r="F25" s="746"/>
      <c r="G25" s="1112"/>
      <c r="H25" s="1112"/>
      <c r="I25" s="1117"/>
      <c r="J25" s="1115">
        <f t="shared" si="5"/>
        <v>0</v>
      </c>
      <c r="K25" s="1075"/>
      <c r="L25" s="1075"/>
      <c r="M25" s="749">
        <f t="shared" ref="M25" si="8">K25+L25</f>
        <v>0</v>
      </c>
      <c r="N25" s="415" t="str">
        <f t="shared" si="7"/>
        <v>0%</v>
      </c>
    </row>
    <row r="26" spans="1:15" ht="19.5" hidden="1" customHeight="1" x14ac:dyDescent="0.25">
      <c r="A26" s="753"/>
      <c r="B26" s="782" t="s">
        <v>71</v>
      </c>
      <c r="C26" s="1664"/>
      <c r="D26" s="746"/>
      <c r="E26" s="746"/>
      <c r="F26" s="746"/>
      <c r="G26" s="1112"/>
      <c r="H26" s="1112"/>
      <c r="I26" s="1117"/>
      <c r="J26" s="1115">
        <f t="shared" si="5"/>
        <v>0</v>
      </c>
      <c r="K26" s="752"/>
      <c r="L26" s="750"/>
      <c r="M26" s="749">
        <f t="shared" si="6"/>
        <v>0</v>
      </c>
      <c r="N26" s="415" t="str">
        <f t="shared" si="7"/>
        <v>0%</v>
      </c>
    </row>
    <row r="27" spans="1:15" ht="19.5" hidden="1" customHeight="1" thickBot="1" x14ac:dyDescent="0.3">
      <c r="A27" s="753"/>
      <c r="B27" s="1651" t="s">
        <v>78</v>
      </c>
      <c r="C27" s="1652">
        <f>SUM(C19:C26)</f>
        <v>0</v>
      </c>
      <c r="D27" s="1658">
        <f t="shared" ref="D27:I27" si="9">SUM(D19:D26)</f>
        <v>0</v>
      </c>
      <c r="E27" s="1131">
        <f t="shared" si="9"/>
        <v>0</v>
      </c>
      <c r="F27" s="1132">
        <f t="shared" si="9"/>
        <v>0</v>
      </c>
      <c r="G27" s="1132">
        <f t="shared" si="9"/>
        <v>0</v>
      </c>
      <c r="H27" s="1132">
        <f t="shared" si="9"/>
        <v>0</v>
      </c>
      <c r="I27" s="1650">
        <f t="shared" si="9"/>
        <v>0</v>
      </c>
      <c r="J27" s="1666">
        <f t="shared" ref="J27:N27" si="10">SUM(J19:J26)</f>
        <v>0</v>
      </c>
      <c r="K27" s="1135">
        <f>K20+K21+K22+K23+K26</f>
        <v>0</v>
      </c>
      <c r="L27" s="1659">
        <f>L20+L21+L23+L26</f>
        <v>0</v>
      </c>
      <c r="M27" s="1136">
        <f t="shared" si="10"/>
        <v>0</v>
      </c>
      <c r="N27" s="1137">
        <f t="shared" si="10"/>
        <v>0</v>
      </c>
    </row>
    <row r="28" spans="1:15" ht="19.5" hidden="1" customHeight="1" x14ac:dyDescent="0.25">
      <c r="A28" s="86"/>
      <c r="B28" s="1657"/>
      <c r="C28" s="1657"/>
      <c r="D28" s="161"/>
      <c r="E28" s="161"/>
      <c r="F28" s="161"/>
      <c r="G28" s="161"/>
      <c r="H28" s="161"/>
      <c r="I28" s="161"/>
      <c r="J28" s="161"/>
      <c r="K28" s="1655"/>
      <c r="L28" s="1655"/>
      <c r="M28" s="1655"/>
      <c r="N28" s="1656"/>
    </row>
    <row r="29" spans="1:15" hidden="1" x14ac:dyDescent="0.25"/>
    <row r="30" spans="1:15" ht="20.25" customHeight="1" x14ac:dyDescent="0.25">
      <c r="A30" s="753"/>
      <c r="B30" s="2064">
        <f>'A.1.Présentation structure'!C22</f>
        <v>2016</v>
      </c>
      <c r="C30" s="2075" t="s">
        <v>535</v>
      </c>
      <c r="D30" s="2066" t="s">
        <v>475</v>
      </c>
      <c r="E30" s="2067"/>
      <c r="F30" s="2067"/>
      <c r="G30" s="2067"/>
      <c r="H30" s="2067"/>
      <c r="I30" s="2067"/>
      <c r="J30" s="2068"/>
      <c r="K30" s="2069" t="s">
        <v>76</v>
      </c>
      <c r="L30" s="2069"/>
      <c r="M30" s="2070"/>
      <c r="N30" s="2072" t="s">
        <v>433</v>
      </c>
    </row>
    <row r="31" spans="1:15" ht="27" customHeight="1" x14ac:dyDescent="0.25">
      <c r="A31" s="753"/>
      <c r="B31" s="2065"/>
      <c r="C31" s="2076"/>
      <c r="D31" s="974" t="s">
        <v>449</v>
      </c>
      <c r="E31" s="975" t="s">
        <v>450</v>
      </c>
      <c r="F31" s="975" t="s">
        <v>451</v>
      </c>
      <c r="G31" s="1111" t="s">
        <v>473</v>
      </c>
      <c r="H31" s="1244" t="s">
        <v>474</v>
      </c>
      <c r="I31" s="1110" t="s">
        <v>452</v>
      </c>
      <c r="J31" s="1665" t="s">
        <v>448</v>
      </c>
      <c r="K31" s="1121" t="s">
        <v>431</v>
      </c>
      <c r="L31" s="1120" t="s">
        <v>432</v>
      </c>
      <c r="M31" s="1119" t="s">
        <v>78</v>
      </c>
      <c r="N31" s="2074"/>
    </row>
    <row r="32" spans="1:15" ht="19.5" customHeight="1" x14ac:dyDescent="0.25">
      <c r="A32" s="753"/>
      <c r="B32" s="781" t="s">
        <v>79</v>
      </c>
      <c r="C32" s="1663"/>
      <c r="D32" s="745"/>
      <c r="E32" s="745"/>
      <c r="F32" s="1109"/>
      <c r="G32" s="1109"/>
      <c r="H32" s="1109"/>
      <c r="I32" s="1116"/>
      <c r="J32" s="1115">
        <f>SUM(D32:I32)</f>
        <v>0</v>
      </c>
      <c r="K32" s="1075"/>
      <c r="L32" s="1075"/>
      <c r="M32" s="1073"/>
      <c r="N32" s="1074"/>
    </row>
    <row r="33" spans="1:15" ht="19.5" customHeight="1" x14ac:dyDescent="0.25">
      <c r="A33" s="753"/>
      <c r="B33" s="782" t="s">
        <v>297</v>
      </c>
      <c r="C33" s="1664"/>
      <c r="D33" s="746"/>
      <c r="E33" s="746"/>
      <c r="F33" s="1118"/>
      <c r="G33" s="1112"/>
      <c r="H33" s="1112"/>
      <c r="I33" s="1117"/>
      <c r="J33" s="1115">
        <f t="shared" ref="J33:J39" si="11">SUM(D33:I33)</f>
        <v>0</v>
      </c>
      <c r="K33" s="752"/>
      <c r="L33" s="752"/>
      <c r="M33" s="749">
        <f t="shared" ref="M33:M39" si="12">K33+L33</f>
        <v>0</v>
      </c>
      <c r="N33" s="415" t="str">
        <f t="shared" ref="N33:N39" si="13">IF(($J$40-$J$32)=0, "0%", J33/($J$40-$J$32))</f>
        <v>0%</v>
      </c>
      <c r="O33" s="4"/>
    </row>
    <row r="34" spans="1:15" ht="19.5" customHeight="1" x14ac:dyDescent="0.25">
      <c r="A34" s="753"/>
      <c r="B34" s="782" t="s">
        <v>298</v>
      </c>
      <c r="C34" s="1664"/>
      <c r="D34" s="746"/>
      <c r="E34" s="746"/>
      <c r="F34" s="746"/>
      <c r="G34" s="1112"/>
      <c r="H34" s="1112"/>
      <c r="I34" s="1117"/>
      <c r="J34" s="1115">
        <f t="shared" si="11"/>
        <v>0</v>
      </c>
      <c r="K34" s="752"/>
      <c r="L34" s="752"/>
      <c r="M34" s="749">
        <f t="shared" si="12"/>
        <v>0</v>
      </c>
      <c r="N34" s="415" t="str">
        <f t="shared" si="13"/>
        <v>0%</v>
      </c>
    </row>
    <row r="35" spans="1:15" ht="19.5" customHeight="1" x14ac:dyDescent="0.25">
      <c r="A35" s="753"/>
      <c r="B35" s="782" t="s">
        <v>101</v>
      </c>
      <c r="C35" s="1664"/>
      <c r="D35" s="746"/>
      <c r="E35" s="746"/>
      <c r="F35" s="746"/>
      <c r="G35" s="1112"/>
      <c r="H35" s="1112"/>
      <c r="I35" s="1117"/>
      <c r="J35" s="1115">
        <f t="shared" si="11"/>
        <v>0</v>
      </c>
      <c r="K35" s="752"/>
      <c r="L35" s="1075"/>
      <c r="M35" s="749">
        <f t="shared" si="12"/>
        <v>0</v>
      </c>
      <c r="N35" s="415" t="str">
        <f t="shared" si="13"/>
        <v>0%</v>
      </c>
    </row>
    <row r="36" spans="1:15" ht="19.5" customHeight="1" x14ac:dyDescent="0.25">
      <c r="A36" s="753"/>
      <c r="B36" s="782" t="s">
        <v>166</v>
      </c>
      <c r="C36" s="1664"/>
      <c r="D36" s="746"/>
      <c r="E36" s="746"/>
      <c r="F36" s="746"/>
      <c r="G36" s="1112"/>
      <c r="H36" s="1112"/>
      <c r="I36" s="1117"/>
      <c r="J36" s="1115">
        <f t="shared" si="11"/>
        <v>0</v>
      </c>
      <c r="K36" s="752"/>
      <c r="L36" s="752"/>
      <c r="M36" s="749">
        <f t="shared" si="12"/>
        <v>0</v>
      </c>
      <c r="N36" s="415" t="str">
        <f t="shared" si="13"/>
        <v>0%</v>
      </c>
    </row>
    <row r="37" spans="1:15" ht="19.5" customHeight="1" x14ac:dyDescent="0.25">
      <c r="A37" s="753"/>
      <c r="B37" s="751" t="s">
        <v>495</v>
      </c>
      <c r="C37" s="1664"/>
      <c r="D37" s="746"/>
      <c r="E37" s="746"/>
      <c r="F37" s="746"/>
      <c r="G37" s="1112"/>
      <c r="H37" s="1112"/>
      <c r="I37" s="1117"/>
      <c r="J37" s="1115">
        <f t="shared" si="11"/>
        <v>0</v>
      </c>
      <c r="K37" s="1075"/>
      <c r="L37" s="1075"/>
      <c r="M37" s="749">
        <f t="shared" si="12"/>
        <v>0</v>
      </c>
      <c r="N37" s="415" t="str">
        <f t="shared" si="13"/>
        <v>0%</v>
      </c>
    </row>
    <row r="38" spans="1:15" ht="19.5" customHeight="1" x14ac:dyDescent="0.25">
      <c r="A38" s="753"/>
      <c r="B38" s="751" t="s">
        <v>496</v>
      </c>
      <c r="C38" s="1664"/>
      <c r="D38" s="746"/>
      <c r="E38" s="746"/>
      <c r="F38" s="746"/>
      <c r="G38" s="1112"/>
      <c r="H38" s="1112"/>
      <c r="I38" s="1117"/>
      <c r="J38" s="1115">
        <f t="shared" si="11"/>
        <v>0</v>
      </c>
      <c r="K38" s="1075"/>
      <c r="L38" s="1075"/>
      <c r="M38" s="749">
        <f t="shared" ref="M38" si="14">K38+L38</f>
        <v>0</v>
      </c>
      <c r="N38" s="415" t="str">
        <f t="shared" si="13"/>
        <v>0%</v>
      </c>
    </row>
    <row r="39" spans="1:15" ht="19.5" customHeight="1" x14ac:dyDescent="0.25">
      <c r="A39" s="753"/>
      <c r="B39" s="782" t="s">
        <v>71</v>
      </c>
      <c r="C39" s="1664"/>
      <c r="D39" s="746"/>
      <c r="E39" s="746"/>
      <c r="F39" s="746"/>
      <c r="G39" s="1112"/>
      <c r="H39" s="1112"/>
      <c r="I39" s="1117"/>
      <c r="J39" s="1115">
        <f t="shared" si="11"/>
        <v>0</v>
      </c>
      <c r="K39" s="752"/>
      <c r="L39" s="752"/>
      <c r="M39" s="749">
        <f t="shared" si="12"/>
        <v>0</v>
      </c>
      <c r="N39" s="415" t="str">
        <f t="shared" si="13"/>
        <v>0%</v>
      </c>
    </row>
    <row r="40" spans="1:15" ht="19.5" customHeight="1" thickBot="1" x14ac:dyDescent="0.3">
      <c r="A40" s="753"/>
      <c r="B40" s="1660" t="s">
        <v>78</v>
      </c>
      <c r="C40" s="1652">
        <f>SUM(C32:C39)</f>
        <v>0</v>
      </c>
      <c r="D40" s="1650">
        <f t="shared" ref="D40:I40" si="15">SUM(D32:D39)</f>
        <v>0</v>
      </c>
      <c r="E40" s="1132">
        <f t="shared" si="15"/>
        <v>0</v>
      </c>
      <c r="F40" s="1650">
        <f t="shared" si="15"/>
        <v>0</v>
      </c>
      <c r="G40" s="1132">
        <f t="shared" si="15"/>
        <v>0</v>
      </c>
      <c r="H40" s="1132">
        <f t="shared" si="15"/>
        <v>0</v>
      </c>
      <c r="I40" s="1133">
        <f t="shared" si="15"/>
        <v>0</v>
      </c>
      <c r="J40" s="1666">
        <f t="shared" ref="J40:N40" si="16">SUM(J32:J39)</f>
        <v>0</v>
      </c>
      <c r="K40" s="1135">
        <f>K33+K34+K35+K36+K39</f>
        <v>0</v>
      </c>
      <c r="L40" s="1135">
        <f>L33+L34+L36+L39</f>
        <v>0</v>
      </c>
      <c r="M40" s="1136">
        <f t="shared" si="16"/>
        <v>0</v>
      </c>
      <c r="N40" s="1137">
        <f t="shared" si="16"/>
        <v>0</v>
      </c>
    </row>
    <row r="41" spans="1:15" ht="19.5" customHeight="1" x14ac:dyDescent="0.25">
      <c r="A41" s="86"/>
      <c r="B41" s="1657"/>
      <c r="C41" s="1657"/>
      <c r="D41" s="161"/>
      <c r="E41" s="161"/>
      <c r="F41" s="161"/>
      <c r="G41" s="161"/>
      <c r="H41" s="161"/>
      <c r="I41" s="161"/>
      <c r="J41" s="161"/>
      <c r="K41" s="1655"/>
      <c r="L41" s="1655"/>
      <c r="M41" s="1655"/>
      <c r="N41" s="1656"/>
    </row>
    <row r="43" spans="1:15" ht="20.25" customHeight="1" x14ac:dyDescent="0.25">
      <c r="B43" s="2081">
        <f>B30+1</f>
        <v>2017</v>
      </c>
      <c r="C43" s="2075" t="s">
        <v>535</v>
      </c>
      <c r="D43" s="2066" t="s">
        <v>475</v>
      </c>
      <c r="E43" s="2067"/>
      <c r="F43" s="2067"/>
      <c r="G43" s="2067"/>
      <c r="H43" s="2067"/>
      <c r="I43" s="2067"/>
      <c r="J43" s="2068"/>
      <c r="K43" s="2069" t="s">
        <v>76</v>
      </c>
      <c r="L43" s="2069"/>
      <c r="M43" s="2070"/>
      <c r="N43" s="2072" t="s">
        <v>433</v>
      </c>
    </row>
    <row r="44" spans="1:15" ht="27" customHeight="1" x14ac:dyDescent="0.25">
      <c r="A44" s="753"/>
      <c r="B44" s="2082"/>
      <c r="C44" s="2076"/>
      <c r="D44" s="974" t="s">
        <v>449</v>
      </c>
      <c r="E44" s="975" t="s">
        <v>450</v>
      </c>
      <c r="F44" s="975" t="s">
        <v>451</v>
      </c>
      <c r="G44" s="1111" t="s">
        <v>473</v>
      </c>
      <c r="H44" s="1111" t="s">
        <v>474</v>
      </c>
      <c r="I44" s="1110" t="s">
        <v>452</v>
      </c>
      <c r="J44" s="1665" t="s">
        <v>448</v>
      </c>
      <c r="K44" s="1121" t="s">
        <v>431</v>
      </c>
      <c r="L44" s="1120" t="s">
        <v>432</v>
      </c>
      <c r="M44" s="1119" t="s">
        <v>78</v>
      </c>
      <c r="N44" s="2074"/>
    </row>
    <row r="45" spans="1:15" ht="19.5" customHeight="1" x14ac:dyDescent="0.25">
      <c r="A45" s="753"/>
      <c r="B45" s="781" t="s">
        <v>79</v>
      </c>
      <c r="C45" s="1663"/>
      <c r="D45" s="745"/>
      <c r="E45" s="745"/>
      <c r="F45" s="1109"/>
      <c r="G45" s="1109"/>
      <c r="H45" s="1109"/>
      <c r="I45" s="1116"/>
      <c r="J45" s="1115">
        <f>SUM(D45:I45)</f>
        <v>0</v>
      </c>
      <c r="K45" s="1075"/>
      <c r="L45" s="1075"/>
      <c r="M45" s="1073"/>
      <c r="N45" s="1074"/>
    </row>
    <row r="46" spans="1:15" ht="19.5" customHeight="1" x14ac:dyDescent="0.25">
      <c r="A46" s="753"/>
      <c r="B46" s="782" t="s">
        <v>297</v>
      </c>
      <c r="C46" s="1664"/>
      <c r="D46" s="746"/>
      <c r="E46" s="746"/>
      <c r="F46" s="1118"/>
      <c r="G46" s="1112"/>
      <c r="H46" s="1112"/>
      <c r="I46" s="1117"/>
      <c r="J46" s="1115">
        <f t="shared" ref="J46:J52" si="17">SUM(D46:I46)</f>
        <v>0</v>
      </c>
      <c r="K46" s="752"/>
      <c r="L46" s="752"/>
      <c r="M46" s="749">
        <f t="shared" ref="M46:M52" si="18">K46+L46</f>
        <v>0</v>
      </c>
      <c r="N46" s="415" t="str">
        <f t="shared" ref="N46:N52" si="19">IF(($J$53-$J$45)=0, "0%", J46/($J$53-$J$45))</f>
        <v>0%</v>
      </c>
      <c r="O46" s="4"/>
    </row>
    <row r="47" spans="1:15" ht="19.5" customHeight="1" x14ac:dyDescent="0.25">
      <c r="A47" s="753"/>
      <c r="B47" s="782" t="s">
        <v>298</v>
      </c>
      <c r="C47" s="1664"/>
      <c r="D47" s="746"/>
      <c r="E47" s="746"/>
      <c r="F47" s="746"/>
      <c r="G47" s="1112"/>
      <c r="H47" s="1112"/>
      <c r="I47" s="1117"/>
      <c r="J47" s="1115">
        <f t="shared" si="17"/>
        <v>0</v>
      </c>
      <c r="K47" s="752"/>
      <c r="L47" s="752"/>
      <c r="M47" s="749">
        <f t="shared" si="18"/>
        <v>0</v>
      </c>
      <c r="N47" s="415" t="str">
        <f t="shared" si="19"/>
        <v>0%</v>
      </c>
    </row>
    <row r="48" spans="1:15" ht="19.5" customHeight="1" x14ac:dyDescent="0.25">
      <c r="A48" s="753"/>
      <c r="B48" s="782" t="s">
        <v>101</v>
      </c>
      <c r="C48" s="1664"/>
      <c r="D48" s="746"/>
      <c r="E48" s="746"/>
      <c r="F48" s="746"/>
      <c r="G48" s="1112"/>
      <c r="H48" s="1112"/>
      <c r="I48" s="1117"/>
      <c r="J48" s="1115">
        <f t="shared" si="17"/>
        <v>0</v>
      </c>
      <c r="K48" s="752"/>
      <c r="L48" s="1075"/>
      <c r="M48" s="749">
        <f t="shared" si="18"/>
        <v>0</v>
      </c>
      <c r="N48" s="415" t="str">
        <f t="shared" si="19"/>
        <v>0%</v>
      </c>
    </row>
    <row r="49" spans="1:15" ht="19.5" customHeight="1" x14ac:dyDescent="0.25">
      <c r="A49" s="753"/>
      <c r="B49" s="782" t="s">
        <v>166</v>
      </c>
      <c r="C49" s="1664"/>
      <c r="D49" s="746"/>
      <c r="E49" s="746"/>
      <c r="F49" s="746"/>
      <c r="G49" s="1112"/>
      <c r="H49" s="1112"/>
      <c r="I49" s="1117"/>
      <c r="J49" s="1115">
        <f t="shared" si="17"/>
        <v>0</v>
      </c>
      <c r="K49" s="752"/>
      <c r="L49" s="752"/>
      <c r="M49" s="749">
        <f t="shared" si="18"/>
        <v>0</v>
      </c>
      <c r="N49" s="415" t="str">
        <f t="shared" si="19"/>
        <v>0%</v>
      </c>
    </row>
    <row r="50" spans="1:15" ht="19.5" customHeight="1" x14ac:dyDescent="0.25">
      <c r="A50" s="753"/>
      <c r="B50" s="751" t="s">
        <v>495</v>
      </c>
      <c r="C50" s="1664"/>
      <c r="D50" s="746"/>
      <c r="E50" s="746"/>
      <c r="F50" s="746"/>
      <c r="G50" s="1112"/>
      <c r="H50" s="1112"/>
      <c r="I50" s="1117"/>
      <c r="J50" s="1115">
        <f t="shared" si="17"/>
        <v>0</v>
      </c>
      <c r="K50" s="1075"/>
      <c r="L50" s="1075"/>
      <c r="M50" s="749">
        <f t="shared" si="18"/>
        <v>0</v>
      </c>
      <c r="N50" s="415" t="str">
        <f t="shared" si="19"/>
        <v>0%</v>
      </c>
    </row>
    <row r="51" spans="1:15" ht="19.5" customHeight="1" x14ac:dyDescent="0.25">
      <c r="A51" s="753"/>
      <c r="B51" s="751" t="s">
        <v>496</v>
      </c>
      <c r="C51" s="1664"/>
      <c r="D51" s="746"/>
      <c r="E51" s="746"/>
      <c r="F51" s="746"/>
      <c r="G51" s="1112"/>
      <c r="H51" s="1112"/>
      <c r="I51" s="1117"/>
      <c r="J51" s="1115">
        <f t="shared" si="17"/>
        <v>0</v>
      </c>
      <c r="K51" s="1075"/>
      <c r="L51" s="1075"/>
      <c r="M51" s="749">
        <f t="shared" ref="M51" si="20">K51+L51</f>
        <v>0</v>
      </c>
      <c r="N51" s="415" t="str">
        <f t="shared" si="19"/>
        <v>0%</v>
      </c>
    </row>
    <row r="52" spans="1:15" ht="19.5" customHeight="1" x14ac:dyDescent="0.25">
      <c r="A52" s="753"/>
      <c r="B52" s="782" t="s">
        <v>71</v>
      </c>
      <c r="C52" s="1664"/>
      <c r="D52" s="746"/>
      <c r="E52" s="746"/>
      <c r="F52" s="746"/>
      <c r="G52" s="1112"/>
      <c r="H52" s="1112"/>
      <c r="I52" s="1117"/>
      <c r="J52" s="1115">
        <f t="shared" si="17"/>
        <v>0</v>
      </c>
      <c r="K52" s="752"/>
      <c r="L52" s="752"/>
      <c r="M52" s="749">
        <f t="shared" si="18"/>
        <v>0</v>
      </c>
      <c r="N52" s="415" t="str">
        <f t="shared" si="19"/>
        <v>0%</v>
      </c>
    </row>
    <row r="53" spans="1:15" ht="19.5" customHeight="1" thickBot="1" x14ac:dyDescent="0.3">
      <c r="A53" s="753"/>
      <c r="B53" s="1660" t="s">
        <v>78</v>
      </c>
      <c r="C53" s="1652">
        <f>SUM(C45:C52)</f>
        <v>0</v>
      </c>
      <c r="D53" s="1650">
        <f t="shared" ref="D53:I53" si="21">SUM(D45:D52)</f>
        <v>0</v>
      </c>
      <c r="E53" s="1132">
        <f t="shared" si="21"/>
        <v>0</v>
      </c>
      <c r="F53" s="1650">
        <f t="shared" si="21"/>
        <v>0</v>
      </c>
      <c r="G53" s="1132">
        <f t="shared" si="21"/>
        <v>0</v>
      </c>
      <c r="H53" s="1132">
        <f t="shared" si="21"/>
        <v>0</v>
      </c>
      <c r="I53" s="1661">
        <f t="shared" si="21"/>
        <v>0</v>
      </c>
      <c r="J53" s="1666">
        <f t="shared" ref="J53:N53" si="22">SUM(J45:J52)</f>
        <v>0</v>
      </c>
      <c r="K53" s="1134">
        <f>K46+K47+K48+K49+K52</f>
        <v>0</v>
      </c>
      <c r="L53" s="1135">
        <f>L46+L47+L49+L52</f>
        <v>0</v>
      </c>
      <c r="M53" s="1136">
        <f t="shared" si="22"/>
        <v>0</v>
      </c>
      <c r="N53" s="1137">
        <f t="shared" si="22"/>
        <v>0</v>
      </c>
    </row>
    <row r="54" spans="1:15" ht="19.5" customHeight="1" x14ac:dyDescent="0.25">
      <c r="A54" s="86"/>
      <c r="B54" s="1657"/>
      <c r="C54" s="1657"/>
      <c r="D54" s="161"/>
      <c r="E54" s="161"/>
      <c r="F54" s="161"/>
      <c r="G54" s="161"/>
      <c r="H54" s="161"/>
      <c r="I54" s="161"/>
      <c r="J54" s="161"/>
      <c r="K54" s="1655"/>
      <c r="L54" s="1655"/>
      <c r="M54" s="1655"/>
      <c r="N54" s="1656"/>
    </row>
    <row r="56" spans="1:15" ht="20.25" hidden="1" customHeight="1" x14ac:dyDescent="0.25">
      <c r="A56" s="753"/>
      <c r="B56" s="2079">
        <f>B43+1</f>
        <v>2018</v>
      </c>
      <c r="C56" s="2075" t="s">
        <v>535</v>
      </c>
      <c r="D56" s="2066" t="s">
        <v>475</v>
      </c>
      <c r="E56" s="2067"/>
      <c r="F56" s="2067"/>
      <c r="G56" s="2067"/>
      <c r="H56" s="2067"/>
      <c r="I56" s="2067"/>
      <c r="J56" s="2068"/>
      <c r="K56" s="2069" t="s">
        <v>76</v>
      </c>
      <c r="L56" s="2069"/>
      <c r="M56" s="2070"/>
      <c r="N56" s="2072" t="s">
        <v>433</v>
      </c>
    </row>
    <row r="57" spans="1:15" ht="27" hidden="1" customHeight="1" x14ac:dyDescent="0.25">
      <c r="A57" s="753"/>
      <c r="B57" s="2080"/>
      <c r="C57" s="2076"/>
      <c r="D57" s="974" t="s">
        <v>449</v>
      </c>
      <c r="E57" s="975" t="s">
        <v>450</v>
      </c>
      <c r="F57" s="975" t="s">
        <v>451</v>
      </c>
      <c r="G57" s="1111" t="s">
        <v>473</v>
      </c>
      <c r="H57" s="1244" t="s">
        <v>474</v>
      </c>
      <c r="I57" s="1110" t="s">
        <v>452</v>
      </c>
      <c r="J57" s="1665" t="s">
        <v>448</v>
      </c>
      <c r="K57" s="1121" t="s">
        <v>431</v>
      </c>
      <c r="L57" s="1120" t="s">
        <v>432</v>
      </c>
      <c r="M57" s="1119" t="s">
        <v>78</v>
      </c>
      <c r="N57" s="2074"/>
    </row>
    <row r="58" spans="1:15" ht="19.5" hidden="1" customHeight="1" x14ac:dyDescent="0.25">
      <c r="A58" s="753"/>
      <c r="B58" s="781" t="s">
        <v>79</v>
      </c>
      <c r="C58" s="1663"/>
      <c r="D58" s="745"/>
      <c r="E58" s="745"/>
      <c r="F58" s="1109"/>
      <c r="G58" s="745"/>
      <c r="H58" s="1109"/>
      <c r="I58" s="1116"/>
      <c r="J58" s="1115">
        <f>SUM(D58:I58)</f>
        <v>0</v>
      </c>
      <c r="K58" s="1075"/>
      <c r="L58" s="1076"/>
      <c r="M58" s="1073"/>
      <c r="N58" s="1074"/>
    </row>
    <row r="59" spans="1:15" ht="19.5" hidden="1" customHeight="1" x14ac:dyDescent="0.25">
      <c r="A59" s="753"/>
      <c r="B59" s="782" t="s">
        <v>297</v>
      </c>
      <c r="C59" s="1664"/>
      <c r="D59" s="746"/>
      <c r="E59" s="746"/>
      <c r="F59" s="747"/>
      <c r="G59" s="746"/>
      <c r="H59" s="1112"/>
      <c r="I59" s="1117"/>
      <c r="J59" s="1115">
        <f t="shared" ref="J59:J65" si="23">SUM(D59:I59)</f>
        <v>0</v>
      </c>
      <c r="K59" s="752"/>
      <c r="L59" s="750"/>
      <c r="M59" s="749">
        <f t="shared" ref="M59:M65" si="24">K59+L59</f>
        <v>0</v>
      </c>
      <c r="N59" s="415" t="str">
        <f t="shared" ref="N59:N65" si="25">IF(($J$66-$J$58)=0, "0%", J59/($J$66-$J$58))</f>
        <v>0%</v>
      </c>
      <c r="O59" s="4"/>
    </row>
    <row r="60" spans="1:15" ht="19.5" hidden="1" customHeight="1" x14ac:dyDescent="0.25">
      <c r="A60" s="753"/>
      <c r="B60" s="782" t="s">
        <v>298</v>
      </c>
      <c r="C60" s="1664"/>
      <c r="D60" s="746"/>
      <c r="E60" s="746"/>
      <c r="F60" s="746"/>
      <c r="G60" s="746"/>
      <c r="H60" s="1112"/>
      <c r="I60" s="1117"/>
      <c r="J60" s="1115">
        <f t="shared" si="23"/>
        <v>0</v>
      </c>
      <c r="K60" s="752"/>
      <c r="L60" s="750"/>
      <c r="M60" s="749">
        <f t="shared" si="24"/>
        <v>0</v>
      </c>
      <c r="N60" s="415" t="str">
        <f t="shared" si="25"/>
        <v>0%</v>
      </c>
    </row>
    <row r="61" spans="1:15" ht="19.5" hidden="1" customHeight="1" x14ac:dyDescent="0.25">
      <c r="A61" s="753"/>
      <c r="B61" s="782" t="s">
        <v>101</v>
      </c>
      <c r="C61" s="1664"/>
      <c r="D61" s="746"/>
      <c r="E61" s="746"/>
      <c r="F61" s="746"/>
      <c r="G61" s="746"/>
      <c r="H61" s="1112"/>
      <c r="I61" s="1117"/>
      <c r="J61" s="1115">
        <f t="shared" si="23"/>
        <v>0</v>
      </c>
      <c r="K61" s="752"/>
      <c r="L61" s="1076"/>
      <c r="M61" s="749">
        <f t="shared" si="24"/>
        <v>0</v>
      </c>
      <c r="N61" s="415" t="str">
        <f t="shared" si="25"/>
        <v>0%</v>
      </c>
    </row>
    <row r="62" spans="1:15" ht="19.5" hidden="1" customHeight="1" x14ac:dyDescent="0.25">
      <c r="A62" s="753"/>
      <c r="B62" s="782" t="s">
        <v>166</v>
      </c>
      <c r="C62" s="1664"/>
      <c r="D62" s="746"/>
      <c r="E62" s="746"/>
      <c r="F62" s="746"/>
      <c r="G62" s="746"/>
      <c r="H62" s="1112"/>
      <c r="I62" s="1117"/>
      <c r="J62" s="1115">
        <f t="shared" si="23"/>
        <v>0</v>
      </c>
      <c r="K62" s="752"/>
      <c r="L62" s="750"/>
      <c r="M62" s="749">
        <f t="shared" si="24"/>
        <v>0</v>
      </c>
      <c r="N62" s="415" t="str">
        <f t="shared" si="25"/>
        <v>0%</v>
      </c>
    </row>
    <row r="63" spans="1:15" ht="19.5" hidden="1" customHeight="1" x14ac:dyDescent="0.25">
      <c r="A63" s="753"/>
      <c r="B63" s="751" t="s">
        <v>495</v>
      </c>
      <c r="C63" s="1664"/>
      <c r="D63" s="746"/>
      <c r="E63" s="746"/>
      <c r="F63" s="746"/>
      <c r="G63" s="746"/>
      <c r="H63" s="1112"/>
      <c r="I63" s="1117"/>
      <c r="J63" s="1115">
        <f t="shared" si="23"/>
        <v>0</v>
      </c>
      <c r="K63" s="1075"/>
      <c r="L63" s="1075"/>
      <c r="M63" s="749">
        <f t="shared" si="24"/>
        <v>0</v>
      </c>
      <c r="N63" s="415" t="str">
        <f t="shared" si="25"/>
        <v>0%</v>
      </c>
    </row>
    <row r="64" spans="1:15" ht="19.5" hidden="1" customHeight="1" x14ac:dyDescent="0.25">
      <c r="A64" s="753"/>
      <c r="B64" s="751" t="s">
        <v>496</v>
      </c>
      <c r="C64" s="1664"/>
      <c r="D64" s="746"/>
      <c r="E64" s="746"/>
      <c r="F64" s="746"/>
      <c r="G64" s="746"/>
      <c r="H64" s="1112"/>
      <c r="I64" s="1117"/>
      <c r="J64" s="1115">
        <f t="shared" si="23"/>
        <v>0</v>
      </c>
      <c r="K64" s="1075"/>
      <c r="L64" s="1075"/>
      <c r="M64" s="749">
        <f t="shared" ref="M64" si="26">K64+L64</f>
        <v>0</v>
      </c>
      <c r="N64" s="415" t="str">
        <f t="shared" si="25"/>
        <v>0%</v>
      </c>
    </row>
    <row r="65" spans="1:15" ht="19.5" hidden="1" customHeight="1" x14ac:dyDescent="0.25">
      <c r="A65" s="753"/>
      <c r="B65" s="782" t="s">
        <v>71</v>
      </c>
      <c r="C65" s="1664"/>
      <c r="D65" s="746"/>
      <c r="E65" s="746"/>
      <c r="F65" s="746"/>
      <c r="G65" s="746"/>
      <c r="H65" s="1112"/>
      <c r="I65" s="1117"/>
      <c r="J65" s="1115">
        <f t="shared" si="23"/>
        <v>0</v>
      </c>
      <c r="K65" s="752"/>
      <c r="L65" s="750"/>
      <c r="M65" s="749">
        <f t="shared" si="24"/>
        <v>0</v>
      </c>
      <c r="N65" s="415" t="str">
        <f t="shared" si="25"/>
        <v>0%</v>
      </c>
    </row>
    <row r="66" spans="1:15" ht="19.5" hidden="1" customHeight="1" thickBot="1" x14ac:dyDescent="0.3">
      <c r="A66" s="753"/>
      <c r="B66" s="1660" t="s">
        <v>78</v>
      </c>
      <c r="C66" s="1652">
        <f>SUM(C58:C65)</f>
        <v>0</v>
      </c>
      <c r="D66" s="1650">
        <f t="shared" ref="D66:I66" si="27">SUM(D58:D65)</f>
        <v>0</v>
      </c>
      <c r="E66" s="1132">
        <f t="shared" si="27"/>
        <v>0</v>
      </c>
      <c r="F66" s="1132">
        <f t="shared" si="27"/>
        <v>0</v>
      </c>
      <c r="G66" s="1132">
        <f t="shared" si="27"/>
        <v>0</v>
      </c>
      <c r="H66" s="1132">
        <f t="shared" si="27"/>
        <v>0</v>
      </c>
      <c r="I66" s="1133">
        <f t="shared" si="27"/>
        <v>0</v>
      </c>
      <c r="J66" s="1666">
        <f t="shared" ref="J66:N66" si="28">SUM(J58:J65)</f>
        <v>0</v>
      </c>
      <c r="K66" s="1135">
        <f>K59+K60+K61+K62+K65</f>
        <v>0</v>
      </c>
      <c r="L66" s="1659">
        <f>L59+L60+L62+L65</f>
        <v>0</v>
      </c>
      <c r="M66" s="1136">
        <f t="shared" si="28"/>
        <v>0</v>
      </c>
      <c r="N66" s="1137">
        <f t="shared" si="28"/>
        <v>0</v>
      </c>
    </row>
    <row r="67" spans="1:15" ht="19.5" hidden="1" customHeight="1" x14ac:dyDescent="0.25">
      <c r="A67" s="86"/>
      <c r="B67" s="1657"/>
      <c r="C67" s="1657"/>
      <c r="D67" s="161"/>
      <c r="E67" s="161"/>
      <c r="F67" s="161"/>
      <c r="G67" s="161"/>
      <c r="H67" s="161"/>
      <c r="I67" s="161"/>
      <c r="J67" s="161"/>
      <c r="K67" s="1655"/>
      <c r="L67" s="1655"/>
      <c r="M67" s="1655"/>
      <c r="N67" s="1656"/>
    </row>
    <row r="68" spans="1:15" hidden="1" x14ac:dyDescent="0.25"/>
    <row r="69" spans="1:15" ht="20.25" hidden="1" customHeight="1" x14ac:dyDescent="0.25">
      <c r="A69" s="753"/>
      <c r="B69" s="2079">
        <f>B56+1</f>
        <v>2019</v>
      </c>
      <c r="C69" s="2075" t="s">
        <v>535</v>
      </c>
      <c r="D69" s="2066" t="s">
        <v>475</v>
      </c>
      <c r="E69" s="2067"/>
      <c r="F69" s="2067"/>
      <c r="G69" s="2067"/>
      <c r="H69" s="2067"/>
      <c r="I69" s="2067"/>
      <c r="J69" s="2068"/>
      <c r="K69" s="2069" t="s">
        <v>76</v>
      </c>
      <c r="L69" s="2069"/>
      <c r="M69" s="2070"/>
      <c r="N69" s="2072" t="s">
        <v>433</v>
      </c>
    </row>
    <row r="70" spans="1:15" ht="27" hidden="1" customHeight="1" x14ac:dyDescent="0.25">
      <c r="A70" s="753"/>
      <c r="B70" s="2080"/>
      <c r="C70" s="2076"/>
      <c r="D70" s="974" t="s">
        <v>449</v>
      </c>
      <c r="E70" s="975" t="s">
        <v>450</v>
      </c>
      <c r="F70" s="975" t="s">
        <v>451</v>
      </c>
      <c r="G70" s="1111" t="s">
        <v>473</v>
      </c>
      <c r="H70" s="1244" t="s">
        <v>474</v>
      </c>
      <c r="I70" s="1110" t="s">
        <v>452</v>
      </c>
      <c r="J70" s="1665" t="s">
        <v>448</v>
      </c>
      <c r="K70" s="1121" t="s">
        <v>431</v>
      </c>
      <c r="L70" s="1120" t="s">
        <v>432</v>
      </c>
      <c r="M70" s="1119" t="s">
        <v>78</v>
      </c>
      <c r="N70" s="2074"/>
    </row>
    <row r="71" spans="1:15" ht="19.5" hidden="1" customHeight="1" x14ac:dyDescent="0.25">
      <c r="A71" s="753"/>
      <c r="B71" s="781" t="s">
        <v>79</v>
      </c>
      <c r="C71" s="1663"/>
      <c r="D71" s="745"/>
      <c r="E71" s="745"/>
      <c r="F71" s="1109"/>
      <c r="G71" s="745"/>
      <c r="H71" s="1109"/>
      <c r="I71" s="1116"/>
      <c r="J71" s="1115">
        <f>SUM(D71:I71)</f>
        <v>0</v>
      </c>
      <c r="K71" s="1075"/>
      <c r="L71" s="1076"/>
      <c r="M71" s="1073"/>
      <c r="N71" s="1074"/>
    </row>
    <row r="72" spans="1:15" ht="19.5" hidden="1" customHeight="1" x14ac:dyDescent="0.25">
      <c r="A72" s="753"/>
      <c r="B72" s="782" t="s">
        <v>297</v>
      </c>
      <c r="C72" s="1664"/>
      <c r="D72" s="746"/>
      <c r="E72" s="746"/>
      <c r="F72" s="747"/>
      <c r="G72" s="746"/>
      <c r="H72" s="1112"/>
      <c r="I72" s="1117"/>
      <c r="J72" s="1115">
        <f t="shared" ref="J72:J78" si="29">SUM(D72:I72)</f>
        <v>0</v>
      </c>
      <c r="K72" s="752"/>
      <c r="L72" s="750"/>
      <c r="M72" s="749">
        <f t="shared" ref="M72:M78" si="30">K72+L72</f>
        <v>0</v>
      </c>
      <c r="N72" s="415" t="str">
        <f t="shared" ref="N72:N78" si="31">IF(($J$79-$J$71)=0, "0%", J72/($J$79-$J$71))</f>
        <v>0%</v>
      </c>
      <c r="O72" s="4"/>
    </row>
    <row r="73" spans="1:15" ht="19.5" hidden="1" customHeight="1" x14ac:dyDescent="0.25">
      <c r="A73" s="753"/>
      <c r="B73" s="782" t="s">
        <v>298</v>
      </c>
      <c r="C73" s="1664"/>
      <c r="D73" s="746"/>
      <c r="E73" s="746"/>
      <c r="F73" s="746"/>
      <c r="G73" s="746"/>
      <c r="H73" s="1112"/>
      <c r="I73" s="1117"/>
      <c r="J73" s="1115">
        <f t="shared" si="29"/>
        <v>0</v>
      </c>
      <c r="K73" s="752"/>
      <c r="L73" s="750"/>
      <c r="M73" s="749">
        <f t="shared" si="30"/>
        <v>0</v>
      </c>
      <c r="N73" s="415" t="str">
        <f t="shared" si="31"/>
        <v>0%</v>
      </c>
    </row>
    <row r="74" spans="1:15" ht="19.5" hidden="1" customHeight="1" x14ac:dyDescent="0.25">
      <c r="A74" s="753"/>
      <c r="B74" s="782" t="s">
        <v>101</v>
      </c>
      <c r="C74" s="1664"/>
      <c r="D74" s="746"/>
      <c r="E74" s="746"/>
      <c r="F74" s="746"/>
      <c r="G74" s="746"/>
      <c r="H74" s="1112"/>
      <c r="I74" s="1117"/>
      <c r="J74" s="1115">
        <f t="shared" si="29"/>
        <v>0</v>
      </c>
      <c r="K74" s="752"/>
      <c r="L74" s="1076"/>
      <c r="M74" s="749">
        <f t="shared" si="30"/>
        <v>0</v>
      </c>
      <c r="N74" s="415" t="str">
        <f t="shared" si="31"/>
        <v>0%</v>
      </c>
    </row>
    <row r="75" spans="1:15" ht="19.5" hidden="1" customHeight="1" x14ac:dyDescent="0.25">
      <c r="A75" s="753"/>
      <c r="B75" s="782" t="s">
        <v>166</v>
      </c>
      <c r="C75" s="1664"/>
      <c r="D75" s="746"/>
      <c r="E75" s="746"/>
      <c r="F75" s="746"/>
      <c r="G75" s="746"/>
      <c r="H75" s="1112"/>
      <c r="I75" s="1117"/>
      <c r="J75" s="1115">
        <f t="shared" si="29"/>
        <v>0</v>
      </c>
      <c r="K75" s="752"/>
      <c r="L75" s="750"/>
      <c r="M75" s="749">
        <f t="shared" si="30"/>
        <v>0</v>
      </c>
      <c r="N75" s="415" t="str">
        <f t="shared" si="31"/>
        <v>0%</v>
      </c>
    </row>
    <row r="76" spans="1:15" ht="19.5" hidden="1" customHeight="1" x14ac:dyDescent="0.25">
      <c r="A76" s="753"/>
      <c r="B76" s="751" t="s">
        <v>495</v>
      </c>
      <c r="C76" s="1664"/>
      <c r="D76" s="746"/>
      <c r="E76" s="746"/>
      <c r="F76" s="746"/>
      <c r="G76" s="746"/>
      <c r="H76" s="1112"/>
      <c r="I76" s="1117"/>
      <c r="J76" s="1115">
        <f t="shared" si="29"/>
        <v>0</v>
      </c>
      <c r="K76" s="1075"/>
      <c r="L76" s="1075"/>
      <c r="M76" s="749">
        <f t="shared" si="30"/>
        <v>0</v>
      </c>
      <c r="N76" s="415" t="str">
        <f t="shared" si="31"/>
        <v>0%</v>
      </c>
    </row>
    <row r="77" spans="1:15" ht="19.5" hidden="1" customHeight="1" x14ac:dyDescent="0.25">
      <c r="A77" s="753"/>
      <c r="B77" s="751" t="s">
        <v>496</v>
      </c>
      <c r="C77" s="1664"/>
      <c r="D77" s="746"/>
      <c r="E77" s="746"/>
      <c r="F77" s="746"/>
      <c r="G77" s="746"/>
      <c r="H77" s="1112"/>
      <c r="I77" s="1117"/>
      <c r="J77" s="1115">
        <f t="shared" si="29"/>
        <v>0</v>
      </c>
      <c r="K77" s="1075"/>
      <c r="L77" s="1075"/>
      <c r="M77" s="749">
        <f t="shared" ref="M77" si="32">K77+L77</f>
        <v>0</v>
      </c>
      <c r="N77" s="415" t="str">
        <f t="shared" si="31"/>
        <v>0%</v>
      </c>
    </row>
    <row r="78" spans="1:15" ht="19.5" hidden="1" customHeight="1" x14ac:dyDescent="0.25">
      <c r="A78" s="753"/>
      <c r="B78" s="782" t="s">
        <v>71</v>
      </c>
      <c r="C78" s="1664"/>
      <c r="D78" s="746"/>
      <c r="E78" s="746"/>
      <c r="F78" s="746"/>
      <c r="G78" s="746"/>
      <c r="H78" s="1112"/>
      <c r="I78" s="1117"/>
      <c r="J78" s="1115">
        <f t="shared" si="29"/>
        <v>0</v>
      </c>
      <c r="K78" s="752"/>
      <c r="L78" s="750"/>
      <c r="M78" s="749">
        <f t="shared" si="30"/>
        <v>0</v>
      </c>
      <c r="N78" s="415" t="str">
        <f t="shared" si="31"/>
        <v>0%</v>
      </c>
    </row>
    <row r="79" spans="1:15" ht="19.5" hidden="1" customHeight="1" thickBot="1" x14ac:dyDescent="0.3">
      <c r="A79" s="753"/>
      <c r="B79" s="1660" t="s">
        <v>78</v>
      </c>
      <c r="C79" s="1652">
        <f>SUM(C71:C78)</f>
        <v>0</v>
      </c>
      <c r="D79" s="1650">
        <f t="shared" ref="D79:I79" si="33">SUM(D71:D78)</f>
        <v>0</v>
      </c>
      <c r="E79" s="1662">
        <f t="shared" si="33"/>
        <v>0</v>
      </c>
      <c r="F79" s="1132">
        <f t="shared" si="33"/>
        <v>0</v>
      </c>
      <c r="G79" s="1132">
        <f t="shared" si="33"/>
        <v>0</v>
      </c>
      <c r="H79" s="1132">
        <f t="shared" si="33"/>
        <v>0</v>
      </c>
      <c r="I79" s="1133">
        <f t="shared" si="33"/>
        <v>0</v>
      </c>
      <c r="J79" s="1666">
        <f t="shared" ref="J79:N79" si="34">SUM(J71:J78)</f>
        <v>0</v>
      </c>
      <c r="K79" s="1135">
        <f>K72+K73+K74+K75+K78</f>
        <v>0</v>
      </c>
      <c r="L79" s="1659">
        <f>L72+L73+L75+L78</f>
        <v>0</v>
      </c>
      <c r="M79" s="1136">
        <f t="shared" si="34"/>
        <v>0</v>
      </c>
      <c r="N79" s="1137">
        <f t="shared" si="34"/>
        <v>0</v>
      </c>
    </row>
    <row r="80" spans="1:15" hidden="1" x14ac:dyDescent="0.25"/>
  </sheetData>
  <sheetProtection password="CC57" sheet="1" objects="1" scenarios="1"/>
  <protectedRanges>
    <protectedRange sqref="C6:C13 C19:C26 C32:C39 C45:C52 C58:C65 C71:C78" name="Plage7"/>
    <protectedRange sqref="D6:I13 K7:L8 K9 K10:L10 K13:L13" name="Plage1"/>
    <protectedRange sqref="D19:I26 K20:L21 K22 K23:L23 K26:L26" name="Plage2"/>
    <protectedRange sqref="D32:I39 K33:L34 K35 K36:L36 K39:L39" name="Plage3"/>
    <protectedRange sqref="D45:I52 K46:L47 K48 K49:L49 K52:L52" name="Plage4"/>
    <protectedRange sqref="D58:I65 K59:L60 K61 K62:L62 K65:L65" name="Plage5"/>
    <protectedRange sqref="D71:I78 K72:L73 K74 K75:L75 K78:L78" name="Plage6"/>
  </protectedRanges>
  <mergeCells count="31">
    <mergeCell ref="N43:N44"/>
    <mergeCell ref="B69:B70"/>
    <mergeCell ref="D69:J69"/>
    <mergeCell ref="K69:M69"/>
    <mergeCell ref="B43:B44"/>
    <mergeCell ref="D43:J43"/>
    <mergeCell ref="K43:M43"/>
    <mergeCell ref="B56:B57"/>
    <mergeCell ref="D56:J56"/>
    <mergeCell ref="K56:M56"/>
    <mergeCell ref="C43:C44"/>
    <mergeCell ref="C56:C57"/>
    <mergeCell ref="C69:C70"/>
    <mergeCell ref="N56:N57"/>
    <mergeCell ref="N69:N70"/>
    <mergeCell ref="B1:N1"/>
    <mergeCell ref="B30:B31"/>
    <mergeCell ref="D30:J30"/>
    <mergeCell ref="K30:M30"/>
    <mergeCell ref="B17:B18"/>
    <mergeCell ref="D17:J17"/>
    <mergeCell ref="K17:M17"/>
    <mergeCell ref="D4:J4"/>
    <mergeCell ref="K4:M4"/>
    <mergeCell ref="N17:N18"/>
    <mergeCell ref="N30:N31"/>
    <mergeCell ref="C30:C31"/>
    <mergeCell ref="N4:N5"/>
    <mergeCell ref="B4:B5"/>
    <mergeCell ref="C4:C5"/>
    <mergeCell ref="C17:C18"/>
  </mergeCells>
  <phoneticPr fontId="50" type="noConversion"/>
  <printOptions horizontalCentered="1"/>
  <pageMargins left="0.70866141732283472" right="0.70866141732283472" top="0.74803149606299213" bottom="0.74803149606299213" header="0.31496062992125984" footer="0.31496062992125984"/>
  <pageSetup paperSize="9" scale="48" orientation="portrait"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pageSetUpPr fitToPage="1"/>
  </sheetPr>
  <dimension ref="A1:K74"/>
  <sheetViews>
    <sheetView showGridLines="0" zoomScale="90" zoomScaleNormal="90" zoomScaleSheetLayoutView="100" workbookViewId="0">
      <selection activeCell="C14" sqref="C14:D14"/>
    </sheetView>
  </sheetViews>
  <sheetFormatPr baseColWidth="10" defaultColWidth="10.85546875" defaultRowHeight="12.75" x14ac:dyDescent="0.25"/>
  <cols>
    <col min="1" max="1" width="5.140625" style="3" customWidth="1"/>
    <col min="2" max="2" width="29.85546875" style="3" customWidth="1"/>
    <col min="3" max="6" width="9.85546875" style="5" customWidth="1"/>
    <col min="7" max="8" width="9.85546875" style="3" customWidth="1"/>
    <col min="9" max="10" width="20.7109375" style="3" customWidth="1"/>
    <col min="11" max="16384" width="10.85546875" style="3"/>
  </cols>
  <sheetData>
    <row r="1" spans="1:11" ht="12.75" customHeight="1" thickBot="1" x14ac:dyDescent="0.3">
      <c r="A1" s="410"/>
      <c r="B1" s="2092" t="s">
        <v>319</v>
      </c>
      <c r="C1" s="2093"/>
      <c r="D1" s="2093"/>
      <c r="E1" s="2093"/>
      <c r="F1" s="2093"/>
      <c r="G1" s="2093"/>
      <c r="H1" s="2094"/>
    </row>
    <row r="2" spans="1:11" ht="12.75" customHeight="1" thickBot="1" x14ac:dyDescent="0.3">
      <c r="A2" s="410"/>
      <c r="B2" s="2095"/>
      <c r="C2" s="2096"/>
      <c r="D2" s="2096"/>
      <c r="E2" s="2096"/>
      <c r="F2" s="2096"/>
      <c r="G2" s="2096"/>
      <c r="H2" s="2097"/>
    </row>
    <row r="3" spans="1:11" ht="21" customHeight="1" thickTop="1" x14ac:dyDescent="0.25">
      <c r="A3" s="62"/>
      <c r="B3" s="406"/>
      <c r="C3" s="162"/>
      <c r="D3" s="162"/>
      <c r="E3" s="162"/>
      <c r="F3" s="162"/>
      <c r="G3" s="407"/>
      <c r="H3" s="408"/>
    </row>
    <row r="4" spans="1:11" ht="21" customHeight="1" thickBot="1" x14ac:dyDescent="0.3">
      <c r="A4" s="409"/>
      <c r="B4" s="2089" t="s">
        <v>43</v>
      </c>
      <c r="C4" s="2090"/>
      <c r="D4" s="2090"/>
      <c r="E4" s="2090"/>
      <c r="F4" s="2090"/>
      <c r="G4" s="2090"/>
      <c r="H4" s="2091"/>
    </row>
    <row r="5" spans="1:11" ht="8.25" customHeight="1" thickTop="1" x14ac:dyDescent="0.25">
      <c r="A5" s="62"/>
      <c r="B5" s="186"/>
      <c r="C5" s="161"/>
      <c r="D5" s="161"/>
      <c r="E5" s="161"/>
      <c r="F5" s="161"/>
      <c r="G5" s="62"/>
    </row>
    <row r="6" spans="1:11" ht="21" customHeight="1" x14ac:dyDescent="0.25">
      <c r="A6" s="62"/>
      <c r="B6" s="92"/>
      <c r="D6" s="161"/>
      <c r="G6" s="62"/>
    </row>
    <row r="7" spans="1:11" ht="21" customHeight="1" x14ac:dyDescent="0.25">
      <c r="A7" s="62"/>
      <c r="B7" s="92"/>
      <c r="G7" s="62"/>
    </row>
    <row r="8" spans="1:11" ht="21" customHeight="1" x14ac:dyDescent="0.25">
      <c r="A8" s="62"/>
      <c r="B8" s="92"/>
      <c r="C8" s="168" t="s">
        <v>77</v>
      </c>
      <c r="D8" s="169" t="s">
        <v>81</v>
      </c>
      <c r="E8" s="3"/>
      <c r="F8" s="3"/>
      <c r="G8" s="62"/>
      <c r="H8" s="171"/>
      <c r="I8" s="170"/>
      <c r="J8" s="171"/>
      <c r="K8" s="86"/>
    </row>
    <row r="9" spans="1:11" ht="21" customHeight="1" x14ac:dyDescent="0.25">
      <c r="A9" s="62"/>
      <c r="B9" s="172">
        <f>B10-1</f>
        <v>2014</v>
      </c>
      <c r="C9" s="173">
        <f>'C.4.Répartition effectifs'!C14</f>
        <v>0</v>
      </c>
      <c r="D9" s="173">
        <f>'C.4.Répartition effectifs'!J14</f>
        <v>0</v>
      </c>
      <c r="E9" s="3"/>
      <c r="F9" s="3"/>
      <c r="G9" s="62"/>
      <c r="H9" s="161"/>
      <c r="I9" s="411"/>
      <c r="J9" s="161"/>
      <c r="K9" s="86"/>
    </row>
    <row r="10" spans="1:11" ht="21" customHeight="1" x14ac:dyDescent="0.25">
      <c r="A10" s="62"/>
      <c r="B10" s="172">
        <f>B11-1</f>
        <v>2015</v>
      </c>
      <c r="C10" s="173">
        <f>'C.4.Répartition effectifs'!C27</f>
        <v>0</v>
      </c>
      <c r="D10" s="173">
        <f>'C.4.Répartition effectifs'!J27</f>
        <v>0</v>
      </c>
      <c r="E10" s="3"/>
      <c r="F10" s="3"/>
      <c r="G10" s="62"/>
      <c r="H10" s="161"/>
      <c r="I10" s="161"/>
      <c r="J10" s="161"/>
    </row>
    <row r="11" spans="1:11" ht="21" customHeight="1" x14ac:dyDescent="0.25">
      <c r="A11" s="62"/>
      <c r="B11" s="172">
        <f>'A.1.Présentation structure'!C22</f>
        <v>2016</v>
      </c>
      <c r="C11" s="173">
        <f>'C.4.Répartition effectifs'!C40</f>
        <v>0</v>
      </c>
      <c r="D11" s="173">
        <f>'C.4.Répartition effectifs'!J40</f>
        <v>0</v>
      </c>
      <c r="E11" s="3"/>
      <c r="F11" s="3"/>
      <c r="G11" s="62"/>
      <c r="H11" s="161"/>
      <c r="I11" s="161"/>
      <c r="J11" s="161"/>
    </row>
    <row r="12" spans="1:11" ht="21" customHeight="1" x14ac:dyDescent="0.25">
      <c r="A12" s="62"/>
      <c r="B12" s="400">
        <f>B11+1</f>
        <v>2017</v>
      </c>
      <c r="C12" s="401">
        <f>'C.4.Répartition effectifs'!C53</f>
        <v>0</v>
      </c>
      <c r="D12" s="401">
        <f>'C.4.Répartition effectifs'!J53</f>
        <v>0</v>
      </c>
      <c r="E12" s="3"/>
      <c r="F12" s="3"/>
      <c r="G12" s="62"/>
    </row>
    <row r="13" spans="1:11" ht="21" customHeight="1" x14ac:dyDescent="0.25">
      <c r="A13" s="62"/>
      <c r="B13" s="400">
        <f>B12+1</f>
        <v>2018</v>
      </c>
      <c r="C13" s="1138">
        <f>'C.4.Répartition effectifs'!C66</f>
        <v>0</v>
      </c>
      <c r="D13" s="402">
        <f>'C.4.Répartition effectifs'!J66</f>
        <v>0</v>
      </c>
      <c r="G13" s="62"/>
    </row>
    <row r="14" spans="1:11" ht="21" customHeight="1" x14ac:dyDescent="0.25">
      <c r="A14" s="62"/>
      <c r="B14" s="176">
        <f>B13+1</f>
        <v>2019</v>
      </c>
      <c r="C14" s="173">
        <f>'C.4.Répartition effectifs'!C79</f>
        <v>0</v>
      </c>
      <c r="D14" s="404">
        <f>'C.4.Répartition effectifs'!J79</f>
        <v>0</v>
      </c>
      <c r="E14" s="403"/>
      <c r="G14" s="62"/>
    </row>
    <row r="15" spans="1:11" ht="21" customHeight="1" x14ac:dyDescent="0.25">
      <c r="A15" s="62"/>
      <c r="B15" s="174"/>
      <c r="C15" s="161"/>
      <c r="D15" s="405"/>
      <c r="G15" s="62"/>
    </row>
    <row r="16" spans="1:11" ht="21" customHeight="1" x14ac:dyDescent="0.25">
      <c r="A16" s="62"/>
      <c r="B16" s="174"/>
      <c r="C16" s="161"/>
      <c r="D16" s="161"/>
      <c r="G16" s="62"/>
    </row>
    <row r="17" spans="1:8" ht="21" customHeight="1" x14ac:dyDescent="0.25">
      <c r="A17" s="62"/>
      <c r="B17" s="174"/>
      <c r="C17" s="161"/>
      <c r="D17" s="161"/>
      <c r="G17" s="62"/>
    </row>
    <row r="18" spans="1:8" ht="21" customHeight="1" x14ac:dyDescent="0.25">
      <c r="A18" s="62"/>
      <c r="B18" s="174"/>
      <c r="C18" s="161"/>
      <c r="D18" s="161"/>
      <c r="G18" s="62"/>
    </row>
    <row r="19" spans="1:8" ht="15" customHeight="1" x14ac:dyDescent="0.25">
      <c r="A19" s="62"/>
      <c r="B19" s="92"/>
      <c r="G19" s="62"/>
    </row>
    <row r="20" spans="1:8" ht="15" customHeight="1" x14ac:dyDescent="0.25">
      <c r="A20" s="62"/>
      <c r="C20" s="3"/>
      <c r="D20" s="3"/>
      <c r="E20" s="3"/>
      <c r="F20" s="3"/>
      <c r="G20" s="62"/>
    </row>
    <row r="21" spans="1:8" ht="21" customHeight="1" thickBot="1" x14ac:dyDescent="0.3">
      <c r="A21" s="62"/>
      <c r="B21" s="2087" t="s">
        <v>44</v>
      </c>
      <c r="C21" s="2087"/>
      <c r="D21" s="2087"/>
      <c r="E21" s="2087"/>
      <c r="F21" s="2087"/>
      <c r="G21" s="2087"/>
      <c r="H21" s="2088"/>
    </row>
    <row r="22" spans="1:8" ht="8.25" customHeight="1" thickTop="1" x14ac:dyDescent="0.25">
      <c r="A22" s="62"/>
      <c r="B22" s="92"/>
      <c r="G22" s="62"/>
      <c r="H22" s="86"/>
    </row>
    <row r="23" spans="1:8" ht="21" customHeight="1" x14ac:dyDescent="0.25">
      <c r="A23" s="62"/>
      <c r="B23" s="92"/>
      <c r="G23" s="62"/>
    </row>
    <row r="24" spans="1:8" ht="21" customHeight="1" x14ac:dyDescent="0.25">
      <c r="A24" s="62"/>
      <c r="B24" s="92"/>
      <c r="G24" s="62"/>
    </row>
    <row r="25" spans="1:8" ht="21" customHeight="1" x14ac:dyDescent="0.25">
      <c r="A25" s="62"/>
      <c r="B25" s="92"/>
      <c r="G25" s="62"/>
    </row>
    <row r="26" spans="1:8" ht="21" customHeight="1" x14ac:dyDescent="0.25">
      <c r="A26" s="62"/>
      <c r="B26" s="92"/>
      <c r="C26" s="334" t="s">
        <v>17</v>
      </c>
      <c r="D26" s="175" t="s">
        <v>18</v>
      </c>
      <c r="G26" s="62"/>
    </row>
    <row r="27" spans="1:8" ht="21" customHeight="1" x14ac:dyDescent="0.25">
      <c r="A27" s="62"/>
      <c r="B27" s="176">
        <f>B28-1</f>
        <v>2014</v>
      </c>
      <c r="C27" s="177">
        <f>'C.4.Répartition effectifs'!K14</f>
        <v>0</v>
      </c>
      <c r="D27" s="177">
        <f>'C.4.Répartition effectifs'!L14</f>
        <v>0</v>
      </c>
      <c r="G27" s="62"/>
    </row>
    <row r="28" spans="1:8" ht="21" customHeight="1" x14ac:dyDescent="0.25">
      <c r="A28" s="62"/>
      <c r="B28" s="176">
        <f>B29-1</f>
        <v>2015</v>
      </c>
      <c r="C28" s="177">
        <f>'C.4.Répartition effectifs'!K27</f>
        <v>0</v>
      </c>
      <c r="D28" s="177">
        <f>'C.4.Répartition effectifs'!L27</f>
        <v>0</v>
      </c>
      <c r="G28" s="62"/>
    </row>
    <row r="29" spans="1:8" ht="21" customHeight="1" x14ac:dyDescent="0.25">
      <c r="A29" s="62"/>
      <c r="B29" s="176">
        <f>'A.1.Présentation structure'!C22</f>
        <v>2016</v>
      </c>
      <c r="C29" s="177">
        <f>'C.4.Répartition effectifs'!K40</f>
        <v>0</v>
      </c>
      <c r="D29" s="177">
        <f>'C.4.Répartition effectifs'!L40</f>
        <v>0</v>
      </c>
      <c r="G29" s="62"/>
    </row>
    <row r="30" spans="1:8" ht="21" customHeight="1" x14ac:dyDescent="0.25">
      <c r="A30" s="62"/>
      <c r="B30" s="176">
        <f>B29+1</f>
        <v>2017</v>
      </c>
      <c r="C30" s="177">
        <f>'C.4.Répartition effectifs'!K53</f>
        <v>0</v>
      </c>
      <c r="D30" s="177">
        <f>'C.4.Répartition effectifs'!L53</f>
        <v>0</v>
      </c>
      <c r="G30" s="62"/>
    </row>
    <row r="31" spans="1:8" ht="21" customHeight="1" x14ac:dyDescent="0.25">
      <c r="A31" s="62"/>
      <c r="B31" s="176">
        <f t="shared" ref="B31:B32" si="0">B30+1</f>
        <v>2018</v>
      </c>
      <c r="C31" s="177">
        <f>'C.4.Répartition effectifs'!K66</f>
        <v>0</v>
      </c>
      <c r="D31" s="177">
        <f>'C.4.Répartition effectifs'!L66</f>
        <v>0</v>
      </c>
      <c r="G31" s="62"/>
    </row>
    <row r="32" spans="1:8" ht="21" customHeight="1" x14ac:dyDescent="0.25">
      <c r="A32" s="62"/>
      <c r="B32" s="176">
        <f t="shared" si="0"/>
        <v>2019</v>
      </c>
      <c r="C32" s="177">
        <f>'C.4.Répartition effectifs'!K79</f>
        <v>0</v>
      </c>
      <c r="D32" s="177">
        <f>'C.4.Répartition effectifs'!L79</f>
        <v>0</v>
      </c>
      <c r="G32" s="62"/>
    </row>
    <row r="33" spans="1:8" ht="21" customHeight="1" x14ac:dyDescent="0.25">
      <c r="A33" s="62"/>
      <c r="B33" s="92"/>
      <c r="G33" s="62"/>
    </row>
    <row r="34" spans="1:8" ht="21" customHeight="1" x14ac:dyDescent="0.25">
      <c r="A34" s="62"/>
      <c r="B34" s="92"/>
      <c r="G34" s="62"/>
    </row>
    <row r="35" spans="1:8" ht="21" customHeight="1" x14ac:dyDescent="0.25">
      <c r="A35" s="62"/>
      <c r="B35" s="92"/>
      <c r="G35" s="62"/>
    </row>
    <row r="36" spans="1:8" ht="15" customHeight="1" x14ac:dyDescent="0.25">
      <c r="A36" s="62"/>
      <c r="B36" s="92"/>
      <c r="G36" s="62"/>
    </row>
    <row r="37" spans="1:8" ht="15" customHeight="1" x14ac:dyDescent="0.25">
      <c r="A37" s="62"/>
      <c r="B37" s="406"/>
      <c r="C37" s="162"/>
      <c r="D37" s="162"/>
      <c r="E37" s="162"/>
      <c r="F37" s="162"/>
      <c r="G37" s="407"/>
      <c r="H37" s="408"/>
    </row>
    <row r="38" spans="1:8" ht="21" customHeight="1" thickBot="1" x14ac:dyDescent="0.3">
      <c r="A38" s="409"/>
      <c r="B38" s="2084" t="s">
        <v>316</v>
      </c>
      <c r="C38" s="2085"/>
      <c r="D38" s="2085"/>
      <c r="E38" s="2085"/>
      <c r="F38" s="2085"/>
      <c r="G38" s="2085"/>
      <c r="H38" s="2086"/>
    </row>
    <row r="39" spans="1:8" ht="8.25" customHeight="1" thickTop="1" x14ac:dyDescent="0.25">
      <c r="A39" s="62"/>
      <c r="B39" s="184"/>
      <c r="G39" s="62"/>
    </row>
    <row r="40" spans="1:8" ht="21" customHeight="1" x14ac:dyDescent="0.25">
      <c r="A40" s="62"/>
      <c r="B40" s="92"/>
      <c r="G40" s="62"/>
    </row>
    <row r="41" spans="1:8" x14ac:dyDescent="0.25">
      <c r="A41" s="62"/>
      <c r="B41" s="178"/>
      <c r="G41" s="62"/>
    </row>
    <row r="42" spans="1:8" ht="21" customHeight="1" x14ac:dyDescent="0.25">
      <c r="B42" s="179"/>
      <c r="C42" s="65">
        <f>D42-1</f>
        <v>2014</v>
      </c>
      <c r="D42" s="66">
        <f>E42-1</f>
        <v>2015</v>
      </c>
      <c r="E42" s="66">
        <f>'A.1.Présentation structure'!C22</f>
        <v>2016</v>
      </c>
      <c r="F42" s="64">
        <f>E42+1</f>
        <v>2017</v>
      </c>
      <c r="G42" s="64">
        <f t="shared" ref="G42:H42" si="1">F42+1</f>
        <v>2018</v>
      </c>
      <c r="H42" s="64">
        <f t="shared" si="1"/>
        <v>2019</v>
      </c>
    </row>
    <row r="43" spans="1:8" ht="21" customHeight="1" x14ac:dyDescent="0.25">
      <c r="B43" s="166" t="s">
        <v>313</v>
      </c>
      <c r="C43" s="180">
        <f>'C.4.Répartition effectifs'!J7</f>
        <v>0</v>
      </c>
      <c r="D43" s="181">
        <f>'C.4.Répartition effectifs'!J20</f>
        <v>0</v>
      </c>
      <c r="E43" s="181">
        <f>'C.4.Répartition effectifs'!J33</f>
        <v>0</v>
      </c>
      <c r="F43" s="182">
        <f>'C.4.Répartition effectifs'!J46</f>
        <v>0</v>
      </c>
      <c r="G43" s="182">
        <f>'C.4.Répartition effectifs'!J59</f>
        <v>0</v>
      </c>
      <c r="H43" s="182">
        <f>'C.4.Répartition effectifs'!J72</f>
        <v>0</v>
      </c>
    </row>
    <row r="44" spans="1:8" ht="21" customHeight="1" x14ac:dyDescent="0.25">
      <c r="B44" s="166" t="s">
        <v>314</v>
      </c>
      <c r="C44" s="180">
        <f>'C.4.Répartition effectifs'!J8</f>
        <v>0</v>
      </c>
      <c r="D44" s="181">
        <f>'C.4.Répartition effectifs'!J21</f>
        <v>0</v>
      </c>
      <c r="E44" s="181">
        <f>'C.4.Répartition effectifs'!J34</f>
        <v>0</v>
      </c>
      <c r="F44" s="182">
        <f>'C.4.Répartition effectifs'!J47</f>
        <v>0</v>
      </c>
      <c r="G44" s="182">
        <f>'C.4.Répartition effectifs'!J60</f>
        <v>0</v>
      </c>
      <c r="H44" s="182">
        <f>'C.4.Répartition effectifs'!J73</f>
        <v>0</v>
      </c>
    </row>
    <row r="45" spans="1:8" ht="21" customHeight="1" x14ac:dyDescent="0.25">
      <c r="B45" s="166" t="s">
        <v>300</v>
      </c>
      <c r="C45" s="180">
        <f>'C.4.Répartition effectifs'!J9</f>
        <v>0</v>
      </c>
      <c r="D45" s="181">
        <f>'C.4.Répartition effectifs'!J22</f>
        <v>0</v>
      </c>
      <c r="E45" s="181">
        <f>'C.4.Répartition effectifs'!J35</f>
        <v>0</v>
      </c>
      <c r="F45" s="182">
        <f>'C.4.Répartition effectifs'!J48</f>
        <v>0</v>
      </c>
      <c r="G45" s="182">
        <f>'C.4.Répartition effectifs'!J61</f>
        <v>0</v>
      </c>
      <c r="H45" s="182">
        <f>'C.4.Répartition effectifs'!J74</f>
        <v>0</v>
      </c>
    </row>
    <row r="46" spans="1:8" ht="21" customHeight="1" x14ac:dyDescent="0.25">
      <c r="B46" s="166" t="s">
        <v>315</v>
      </c>
      <c r="C46" s="180">
        <f>'C.4.Répartition effectifs'!J10</f>
        <v>0</v>
      </c>
      <c r="D46" s="181">
        <f>'C.4.Répartition effectifs'!J23</f>
        <v>0</v>
      </c>
      <c r="E46" s="181">
        <f>'C.4.Répartition effectifs'!J36</f>
        <v>0</v>
      </c>
      <c r="F46" s="182">
        <f>'C.4.Répartition effectifs'!J49</f>
        <v>0</v>
      </c>
      <c r="G46" s="182">
        <f>'C.4.Répartition effectifs'!J62</f>
        <v>0</v>
      </c>
      <c r="H46" s="182">
        <f>'C.4.Répartition effectifs'!J75</f>
        <v>0</v>
      </c>
    </row>
    <row r="47" spans="1:8" ht="21" customHeight="1" x14ac:dyDescent="0.25">
      <c r="B47" s="751" t="s">
        <v>495</v>
      </c>
      <c r="C47" s="180">
        <f>'C.4.Répartition effectifs'!J11</f>
        <v>0</v>
      </c>
      <c r="D47" s="181">
        <f>'C.4.Répartition effectifs'!J24</f>
        <v>0</v>
      </c>
      <c r="E47" s="181">
        <f>'C.4.Répartition effectifs'!J37</f>
        <v>0</v>
      </c>
      <c r="F47" s="182">
        <f>'C.4.Répartition effectifs'!J50</f>
        <v>0</v>
      </c>
      <c r="G47" s="182">
        <f>'C.4.Répartition effectifs'!J63</f>
        <v>0</v>
      </c>
      <c r="H47" s="182">
        <f>'C.4.Répartition effectifs'!J76</f>
        <v>0</v>
      </c>
    </row>
    <row r="48" spans="1:8" ht="21" customHeight="1" x14ac:dyDescent="0.25">
      <c r="B48" s="751" t="s">
        <v>496</v>
      </c>
      <c r="C48" s="180">
        <f>'C.4.Répartition effectifs'!J12</f>
        <v>0</v>
      </c>
      <c r="D48" s="181">
        <f>'C.4.Répartition effectifs'!J25</f>
        <v>0</v>
      </c>
      <c r="E48" s="181">
        <f>'C.4.Répartition effectifs'!J38</f>
        <v>0</v>
      </c>
      <c r="F48" s="182">
        <f>'C.4.Répartition effectifs'!J51</f>
        <v>0</v>
      </c>
      <c r="G48" s="182">
        <f>'C.4.Répartition effectifs'!J64</f>
        <v>0</v>
      </c>
      <c r="H48" s="182">
        <f>'C.4.Répartition effectifs'!J77</f>
        <v>0</v>
      </c>
    </row>
    <row r="49" spans="1:8" ht="21" customHeight="1" x14ac:dyDescent="0.25">
      <c r="B49" s="166" t="s">
        <v>71</v>
      </c>
      <c r="C49" s="180">
        <f>'C.4.Répartition effectifs'!J13</f>
        <v>0</v>
      </c>
      <c r="D49" s="181">
        <f>'C.4.Répartition effectifs'!J26</f>
        <v>0</v>
      </c>
      <c r="E49" s="181">
        <f>'C.4.Répartition effectifs'!J39</f>
        <v>0</v>
      </c>
      <c r="F49" s="182">
        <f>'C.4.Répartition effectifs'!J52</f>
        <v>0</v>
      </c>
      <c r="G49" s="182">
        <f>'C.4.Répartition effectifs'!J65</f>
        <v>0</v>
      </c>
      <c r="H49" s="182">
        <f>'C.4.Répartition effectifs'!J78</f>
        <v>0</v>
      </c>
    </row>
    <row r="50" spans="1:8" ht="21" customHeight="1" x14ac:dyDescent="0.25">
      <c r="B50" s="165" t="s">
        <v>312</v>
      </c>
      <c r="C50" s="180">
        <f>'C.4.Répartition effectifs'!J6</f>
        <v>0</v>
      </c>
      <c r="D50" s="181">
        <f>'C.4.Répartition effectifs'!J19</f>
        <v>0</v>
      </c>
      <c r="E50" s="181">
        <f>'C.4.Répartition effectifs'!J32</f>
        <v>0</v>
      </c>
      <c r="F50" s="182">
        <f>'C.4.Répartition effectifs'!J45</f>
        <v>0</v>
      </c>
      <c r="G50" s="182">
        <f>'C.4.Répartition effectifs'!J58</f>
        <v>0</v>
      </c>
      <c r="H50" s="182">
        <f>'C.4.Répartition effectifs'!J71</f>
        <v>0</v>
      </c>
    </row>
    <row r="51" spans="1:8" ht="21" customHeight="1" x14ac:dyDescent="0.25">
      <c r="B51" s="167" t="s">
        <v>80</v>
      </c>
      <c r="C51" s="180">
        <f t="shared" ref="C51:H51" si="2">SUM(C43:C49)</f>
        <v>0</v>
      </c>
      <c r="D51" s="181">
        <f t="shared" si="2"/>
        <v>0</v>
      </c>
      <c r="E51" s="181">
        <f t="shared" si="2"/>
        <v>0</v>
      </c>
      <c r="F51" s="182">
        <f t="shared" si="2"/>
        <v>0</v>
      </c>
      <c r="G51" s="182">
        <f t="shared" si="2"/>
        <v>0</v>
      </c>
      <c r="H51" s="182">
        <f t="shared" si="2"/>
        <v>0</v>
      </c>
    </row>
    <row r="52" spans="1:8" ht="21" customHeight="1" x14ac:dyDescent="0.25">
      <c r="B52" s="174"/>
      <c r="C52" s="183"/>
      <c r="D52" s="183"/>
      <c r="E52" s="183"/>
      <c r="F52" s="183"/>
    </row>
    <row r="53" spans="1:8" ht="21" customHeight="1" x14ac:dyDescent="0.25">
      <c r="B53" s="174"/>
      <c r="C53" s="183"/>
      <c r="D53" s="183"/>
      <c r="E53" s="183"/>
      <c r="F53" s="183"/>
    </row>
    <row r="54" spans="1:8" ht="21" customHeight="1" x14ac:dyDescent="0.25">
      <c r="B54" s="174"/>
      <c r="C54" s="183"/>
      <c r="D54" s="183"/>
      <c r="E54" s="183"/>
      <c r="F54" s="183"/>
    </row>
    <row r="55" spans="1:8" ht="21" customHeight="1" x14ac:dyDescent="0.25">
      <c r="A55" s="62"/>
      <c r="B55" s="92"/>
      <c r="G55" s="62"/>
    </row>
    <row r="56" spans="1:8" ht="14.25" customHeight="1" x14ac:dyDescent="0.25">
      <c r="A56" s="62"/>
      <c r="B56" s="92"/>
      <c r="G56" s="62"/>
    </row>
    <row r="57" spans="1:8" ht="15" customHeight="1" x14ac:dyDescent="0.25">
      <c r="A57" s="62"/>
      <c r="B57" s="92"/>
      <c r="G57" s="62"/>
    </row>
    <row r="58" spans="1:8" ht="15" customHeight="1" x14ac:dyDescent="0.25">
      <c r="A58" s="62"/>
      <c r="B58" s="92"/>
      <c r="G58" s="62"/>
    </row>
    <row r="59" spans="1:8" ht="21" customHeight="1" thickBot="1" x14ac:dyDescent="0.3">
      <c r="A59" s="62"/>
      <c r="B59" s="2087" t="s">
        <v>45</v>
      </c>
      <c r="C59" s="2087"/>
      <c r="D59" s="2087"/>
      <c r="E59" s="2087"/>
      <c r="F59" s="2087"/>
      <c r="G59" s="2087"/>
      <c r="H59" s="2088"/>
    </row>
    <row r="60" spans="1:8" ht="15" customHeight="1" thickTop="1" x14ac:dyDescent="0.25">
      <c r="A60" s="62"/>
      <c r="B60" s="92"/>
      <c r="G60" s="62"/>
    </row>
    <row r="61" spans="1:8" ht="24.75" customHeight="1" x14ac:dyDescent="0.25">
      <c r="B61" s="96"/>
      <c r="C61" s="65">
        <f>D61-1</f>
        <v>2014</v>
      </c>
      <c r="D61" s="66">
        <f>E61-1</f>
        <v>2015</v>
      </c>
      <c r="E61" s="66">
        <f>'A.1.Présentation structure'!C22</f>
        <v>2016</v>
      </c>
      <c r="F61" s="1241">
        <f>E61+1</f>
        <v>2017</v>
      </c>
      <c r="G61" s="1241">
        <f t="shared" ref="G61:H61" si="3">F61+1</f>
        <v>2018</v>
      </c>
      <c r="H61" s="1242">
        <f t="shared" si="3"/>
        <v>2019</v>
      </c>
    </row>
    <row r="62" spans="1:8" ht="24.75" customHeight="1" x14ac:dyDescent="0.25">
      <c r="B62" s="63" t="s">
        <v>68</v>
      </c>
      <c r="C62" s="1129"/>
      <c r="D62" s="756" t="str">
        <f>IF('C.4.Répartition effectifs'!J27=0,"-",('C.4.Répartition effectifs'!J27-'C.4.Répartition effectifs'!J14)/'C.4.Répartition effectifs'!J27)</f>
        <v>-</v>
      </c>
      <c r="E62" s="756" t="str">
        <f>IF('C.4.Répartition effectifs'!J40=0,"-",('C.4.Répartition effectifs'!J40-'C.4.Répartition effectifs'!J27)/'C.4.Répartition effectifs'!J40)</f>
        <v>-</v>
      </c>
      <c r="F62" s="758" t="str">
        <f>IF('C.4.Répartition effectifs'!J53=0,"-",('C.4.Répartition effectifs'!J53-'C.4.Répartition effectifs'!J40)/'C.4.Répartition effectifs'!J53)</f>
        <v>-</v>
      </c>
      <c r="G62" s="758" t="str">
        <f>IF('C.4.Répartition effectifs'!J66=0,"-",('C.4.Répartition effectifs'!J66-'C.4.Répartition effectifs'!J53)/'C.4.Répartition effectifs'!J66)</f>
        <v>-</v>
      </c>
      <c r="H62" s="760" t="str">
        <f>IF('C.4.Répartition effectifs'!J79=0,"-",('C.4.Répartition effectifs'!L79-'C.4.Répartition effectifs'!J66)/'C.4.Répartition effectifs'!J79)</f>
        <v>-</v>
      </c>
    </row>
    <row r="63" spans="1:8" ht="24.75" customHeight="1" x14ac:dyDescent="0.25">
      <c r="B63" s="1354" t="s">
        <v>479</v>
      </c>
      <c r="C63" s="755" t="str">
        <f>IF('C.4.Répartition effectifs'!M14=0,"-",'C.4.Répartition effectifs'!L14/'C.4.Répartition effectifs'!M14)</f>
        <v>-</v>
      </c>
      <c r="D63" s="756" t="str">
        <f>IF('C.4.Répartition effectifs'!M27=0,"-",'C.4.Répartition effectifs'!L27/'C.4.Répartition effectifs'!M27)</f>
        <v>-</v>
      </c>
      <c r="E63" s="756" t="str">
        <f>IF('C.4.Répartition effectifs'!M40=0,"-",'C.4.Répartition effectifs'!L40/'C.4.Répartition effectifs'!M40)</f>
        <v>-</v>
      </c>
      <c r="F63" s="759" t="str">
        <f>IF('C.4.Répartition effectifs'!M53=0,"-",'C.4.Répartition effectifs'!L53/'C.4.Répartition effectifs'!M53)</f>
        <v>-</v>
      </c>
      <c r="G63" s="759" t="str">
        <f>IF('C.4.Répartition effectifs'!M66=0,"-",'C.4.Répartition effectifs'!L66/'C.4.Répartition effectifs'!M66)</f>
        <v>-</v>
      </c>
      <c r="H63" s="757" t="str">
        <f>IF('C.4.Répartition effectifs'!M79=0,"-",'C.4.Répartition effectifs'!L79/'C.4.Répartition effectifs'!M79)</f>
        <v>-</v>
      </c>
    </row>
    <row r="64" spans="1:8" ht="24.75" customHeight="1" x14ac:dyDescent="0.25">
      <c r="B64" s="63" t="s">
        <v>70</v>
      </c>
      <c r="C64" s="755" t="str">
        <f>IF('C.4.Répartition effectifs'!J14=0,"-",'C.4.Répartition effectifs'!J6/'C.4.Répartition effectifs'!J14)</f>
        <v>-</v>
      </c>
      <c r="D64" s="756" t="str">
        <f>IF('C.4.Répartition effectifs'!J27=0,"-",'C.4.Répartition effectifs'!J19/'C.4.Répartition effectifs'!J27)</f>
        <v>-</v>
      </c>
      <c r="E64" s="756" t="str">
        <f>IF('C.4.Répartition effectifs'!J40=0,"-",'C.4.Répartition effectifs'!J32/'C.4.Répartition effectifs'!J40)</f>
        <v>-</v>
      </c>
      <c r="F64" s="759" t="str">
        <f>IF('C.4.Répartition effectifs'!J53=0,"-",'C.4.Répartition effectifs'!J45/'C.4.Répartition effectifs'!J53)</f>
        <v>-</v>
      </c>
      <c r="G64" s="759" t="str">
        <f>IF('C.4.Répartition effectifs'!J66=0,"-",'C.4.Répartition effectifs'!J58/'C.4.Répartition effectifs'!J66)</f>
        <v>-</v>
      </c>
      <c r="H64" s="757" t="str">
        <f>IF('C.4.Répartition effectifs'!J79=0,"-",'C.4.Répartition effectifs'!J71/'C.4.Répartition effectifs'!J79)</f>
        <v>-</v>
      </c>
    </row>
    <row r="65" spans="1:9" ht="21" customHeight="1" x14ac:dyDescent="0.25">
      <c r="A65" s="62"/>
      <c r="B65" s="751" t="s">
        <v>536</v>
      </c>
      <c r="C65" s="761" t="str">
        <f>IF(('C.4.Répartition effectifs'!$J$14=0), "-", ('C.4.Répartition effectifs'!D14/'C.4.Répartition effectifs'!$J$14))</f>
        <v>-</v>
      </c>
      <c r="D65" s="762" t="str">
        <f>IF(('C.4.Répartition effectifs'!$J$27=0), "-", ('C.4.Répartition effectifs'!D27/'C.4.Répartition effectifs'!$J$27))</f>
        <v>-</v>
      </c>
      <c r="E65" s="762" t="str">
        <f>IF(('C.4.Répartition effectifs'!$J$40=0), "-", ('C.4.Répartition effectifs'!D40/'C.4.Répartition effectifs'!$J$40))</f>
        <v>-</v>
      </c>
      <c r="F65" s="762" t="str">
        <f>IF(('C.4.Répartition effectifs'!$J$53=0), "-", ('C.4.Répartition effectifs'!D53/'C.4.Répartition effectifs'!$J$53))</f>
        <v>-</v>
      </c>
      <c r="G65" s="762" t="str">
        <f>IF(('C.4.Répartition effectifs'!$J$66=0), "-", ('C.4.Répartition effectifs'!D66/'C.4.Répartition effectifs'!$J$66))</f>
        <v>-</v>
      </c>
      <c r="H65" s="763" t="str">
        <f>IF(('C.4.Répartition effectifs'!$J$79=0), "-", ('C.4.Répartition effectifs'!D79/'C.4.Répartition effectifs'!$J$79))</f>
        <v>-</v>
      </c>
      <c r="I65" s="1130"/>
    </row>
    <row r="66" spans="1:9" ht="21" customHeight="1" x14ac:dyDescent="0.25">
      <c r="A66" s="754"/>
      <c r="B66" s="751" t="s">
        <v>537</v>
      </c>
      <c r="C66" s="761" t="str">
        <f>IF(('C.4.Répartition effectifs'!$J$14=0), "-", ('C.4.Répartition effectifs'!E14/'C.4.Répartition effectifs'!$J$14))</f>
        <v>-</v>
      </c>
      <c r="D66" s="762" t="str">
        <f>IF(('C.4.Répartition effectifs'!$J$27=0), "-", ('C.4.Répartition effectifs'!E27/'C.4.Répartition effectifs'!$J$27))</f>
        <v>-</v>
      </c>
      <c r="E66" s="762" t="str">
        <f>IF(('C.4.Répartition effectifs'!$J$40=0), "-", ('C.4.Répartition effectifs'!E40/'C.4.Répartition effectifs'!$J$40))</f>
        <v>-</v>
      </c>
      <c r="F66" s="762" t="str">
        <f>IF(('C.4.Répartition effectifs'!$J$53=0), "-", ('C.4.Répartition effectifs'!E53/'C.4.Répartition effectifs'!$J$53))</f>
        <v>-</v>
      </c>
      <c r="G66" s="762" t="str">
        <f>IF(('C.4.Répartition effectifs'!$J$66=0), "-", ('C.4.Répartition effectifs'!E66/'C.4.Répartition effectifs'!$J$66))</f>
        <v>-</v>
      </c>
      <c r="H66" s="763" t="str">
        <f>IF(('C.4.Répartition effectifs'!$J$79=0), "-", ('C.4.Répartition effectifs'!E79/'C.4.Répartition effectifs'!$J$79))</f>
        <v>-</v>
      </c>
      <c r="I66" s="1130"/>
    </row>
    <row r="67" spans="1:9" ht="21" customHeight="1" x14ac:dyDescent="0.25">
      <c r="A67" s="753"/>
      <c r="B67" s="751" t="s">
        <v>538</v>
      </c>
      <c r="C67" s="761" t="str">
        <f>IF(('C.4.Répartition effectifs'!$J$14=0), "-", ('C.4.Répartition effectifs'!F14/'C.4.Répartition effectifs'!$J$14))</f>
        <v>-</v>
      </c>
      <c r="D67" s="762" t="str">
        <f>IF(('C.4.Répartition effectifs'!$J$27=0), "-", ('C.4.Répartition effectifs'!F27/'C.4.Répartition effectifs'!$J$27))</f>
        <v>-</v>
      </c>
      <c r="E67" s="762" t="str">
        <f>IF(('C.4.Répartition effectifs'!$J$40=0), "-", ('C.4.Répartition effectifs'!F40/'C.4.Répartition effectifs'!$J$40))</f>
        <v>-</v>
      </c>
      <c r="F67" s="762" t="str">
        <f>IF(('C.4.Répartition effectifs'!$J$53=0), "-", ('C.4.Répartition effectifs'!F53/'C.4.Répartition effectifs'!$J$53))</f>
        <v>-</v>
      </c>
      <c r="G67" s="762" t="str">
        <f>IF(('C.4.Répartition effectifs'!$J$66=0), "-", ('C.4.Répartition effectifs'!F66/'C.4.Répartition effectifs'!$J$66))</f>
        <v>-</v>
      </c>
      <c r="H67" s="763" t="str">
        <f>IF(('C.4.Répartition effectifs'!$J$79=0), "-", ('C.4.Répartition effectifs'!F79/'C.4.Répartition effectifs'!$J$79))</f>
        <v>-</v>
      </c>
      <c r="I67" s="1130"/>
    </row>
    <row r="68" spans="1:9" ht="21" customHeight="1" x14ac:dyDescent="0.25">
      <c r="B68" s="751" t="s">
        <v>539</v>
      </c>
      <c r="C68" s="761" t="str">
        <f>IF(('C.4.Répartition effectifs'!$J$14=0), "-", ('C.4.Répartition effectifs'!G14/'C.4.Répartition effectifs'!$J$14))</f>
        <v>-</v>
      </c>
      <c r="D68" s="762" t="str">
        <f>IF(('C.4.Répartition effectifs'!$J$27=0), "-", ('C.4.Répartition effectifs'!G27/'C.4.Répartition effectifs'!$J$27))</f>
        <v>-</v>
      </c>
      <c r="E68" s="762" t="str">
        <f>IF(('C.4.Répartition effectifs'!$J$40=0), "-", ('C.4.Répartition effectifs'!G40/'C.4.Répartition effectifs'!$J$40))</f>
        <v>-</v>
      </c>
      <c r="F68" s="762" t="str">
        <f>IF(('C.4.Répartition effectifs'!$J$53=0), "-", ('C.4.Répartition effectifs'!G53/'C.4.Répartition effectifs'!$J$53))</f>
        <v>-</v>
      </c>
      <c r="G68" s="762" t="str">
        <f>IF(('C.4.Répartition effectifs'!$J$66=0), "-", ('C.4.Répartition effectifs'!G66/'C.4.Répartition effectifs'!$J$66))</f>
        <v>-</v>
      </c>
      <c r="H68" s="763" t="str">
        <f>IF(('C.4.Répartition effectifs'!$J$79=0), "-", ('C.4.Répartition effectifs'!G79/'C.4.Répartition effectifs'!$J$79))</f>
        <v>-</v>
      </c>
      <c r="I68" s="1130"/>
    </row>
    <row r="69" spans="1:9" ht="21" customHeight="1" x14ac:dyDescent="0.25">
      <c r="B69" s="751" t="s">
        <v>540</v>
      </c>
      <c r="C69" s="761" t="str">
        <f>IF(('C.4.Répartition effectifs'!$J$14=0), "-", ('C.4.Répartition effectifs'!H14/'C.4.Répartition effectifs'!$J$14))</f>
        <v>-</v>
      </c>
      <c r="D69" s="762" t="str">
        <f>IF(('C.4.Répartition effectifs'!$J$27=0), "-", ('C.4.Répartition effectifs'!H27/'C.4.Répartition effectifs'!$J$27))</f>
        <v>-</v>
      </c>
      <c r="E69" s="762" t="str">
        <f>IF(('C.4.Répartition effectifs'!$J$40=0), "-", ('C.4.Répartition effectifs'!H40/'C.4.Répartition effectifs'!$J$40))</f>
        <v>-</v>
      </c>
      <c r="F69" s="762" t="str">
        <f>IF(('C.4.Répartition effectifs'!$J$53=0), "-", ('C.4.Répartition effectifs'!H53/'C.4.Répartition effectifs'!$J$53))</f>
        <v>-</v>
      </c>
      <c r="G69" s="762" t="str">
        <f>IF(('C.4.Répartition effectifs'!$J$66=0), "-", ('C.4.Répartition effectifs'!H66/'C.4.Répartition effectifs'!$J$66))</f>
        <v>-</v>
      </c>
      <c r="H69" s="763" t="str">
        <f>IF(('C.4.Répartition effectifs'!$J$79=0), "-", ('C.4.Répartition effectifs'!H79/'C.4.Répartition effectifs'!$J$79))</f>
        <v>-</v>
      </c>
      <c r="I69" s="1130"/>
    </row>
    <row r="70" spans="1:9" ht="21" customHeight="1" x14ac:dyDescent="0.25">
      <c r="B70" s="751" t="s">
        <v>541</v>
      </c>
      <c r="C70" s="761" t="str">
        <f>IF(('C.4.Répartition effectifs'!$J$14=0), "-", ('C.4.Répartition effectifs'!I14/'C.4.Répartition effectifs'!$J$14))</f>
        <v>-</v>
      </c>
      <c r="D70" s="762" t="str">
        <f>IF(('C.4.Répartition effectifs'!$J$27=0), "-", ('C.4.Répartition effectifs'!I27/'C.4.Répartition effectifs'!$J$27))</f>
        <v>-</v>
      </c>
      <c r="E70" s="762" t="str">
        <f>IF(('C.4.Répartition effectifs'!$J$40=0), "-", ('C.4.Répartition effectifs'!I40/'C.4.Répartition effectifs'!$J$40))</f>
        <v>-</v>
      </c>
      <c r="F70" s="762" t="str">
        <f>IF(('C.4.Répartition effectifs'!$J$53=0), "-", ('C.4.Répartition effectifs'!I53/'C.4.Répartition effectifs'!$J$53))</f>
        <v>-</v>
      </c>
      <c r="G70" s="762" t="str">
        <f>IF(('C.4.Répartition effectifs'!$J$66=0), "-", ('C.4.Répartition effectifs'!I66/'C.4.Répartition effectifs'!$J$66))</f>
        <v>-</v>
      </c>
      <c r="H70" s="763" t="str">
        <f>IF(('C.4.Répartition effectifs'!$J$79=0), "-", ('C.4.Répartition effectifs'!I79/'C.4.Répartition effectifs'!$J$79))</f>
        <v>-</v>
      </c>
      <c r="I70" s="1130"/>
    </row>
    <row r="71" spans="1:9" ht="21" customHeight="1" x14ac:dyDescent="0.25">
      <c r="B71" s="2083" t="s">
        <v>478</v>
      </c>
      <c r="C71" s="2083"/>
      <c r="D71" s="2083"/>
      <c r="E71" s="1637"/>
      <c r="F71" s="1637"/>
      <c r="G71" s="1637"/>
      <c r="H71" s="1637"/>
      <c r="I71" s="1637"/>
    </row>
    <row r="72" spans="1:9" ht="21" customHeight="1" x14ac:dyDescent="0.25"/>
    <row r="73" spans="1:9" ht="21" customHeight="1" x14ac:dyDescent="0.25"/>
    <row r="74" spans="1:9" ht="21" customHeight="1" x14ac:dyDescent="0.25"/>
  </sheetData>
  <sheetProtection password="CC57" sheet="1" objects="1" scenarios="1"/>
  <mergeCells count="6">
    <mergeCell ref="B71:D71"/>
    <mergeCell ref="B38:H38"/>
    <mergeCell ref="B21:H21"/>
    <mergeCell ref="B4:H4"/>
    <mergeCell ref="B1:H2"/>
    <mergeCell ref="B59:H59"/>
  </mergeCells>
  <phoneticPr fontId="50" type="noConversion"/>
  <printOptions horizontalCentered="1"/>
  <pageMargins left="0.70866141732283472" right="0.70866141732283472" top="0.74803149606299213" bottom="0.74803149606299213" header="0.31496062992125984" footer="0.31496062992125984"/>
  <pageSetup paperSize="9" scale="54" fitToWidth="0" orientation="portrait" r:id="rId1"/>
  <headerFooter>
    <oddHeader>&amp;R&amp;G</oddHead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pageSetUpPr fitToPage="1"/>
  </sheetPr>
  <dimension ref="A1:AF62"/>
  <sheetViews>
    <sheetView showGridLines="0" zoomScale="70" zoomScaleNormal="70" zoomScaleSheetLayoutView="100" zoomScalePageLayoutView="80" workbookViewId="0">
      <pane xSplit="2" ySplit="13" topLeftCell="C14" activePane="bottomRight" state="frozen"/>
      <selection activeCell="C14" sqref="C14:D14"/>
      <selection pane="topRight" activeCell="C14" sqref="C14:D14"/>
      <selection pane="bottomLeft" activeCell="C14" sqref="C14:D14"/>
      <selection pane="bottomRight" activeCell="L11" sqref="L11:N11"/>
    </sheetView>
  </sheetViews>
  <sheetFormatPr baseColWidth="10" defaultColWidth="10.85546875" defaultRowHeight="14.25" x14ac:dyDescent="0.25"/>
  <cols>
    <col min="1" max="1" width="2" style="185" customWidth="1"/>
    <col min="2" max="2" width="41.85546875" style="15" customWidth="1"/>
    <col min="3" max="23" width="11.5703125" style="15" customWidth="1"/>
    <col min="24" max="25" width="9.5703125" style="15" customWidth="1"/>
    <col min="26" max="26" width="9.5703125" style="1492" customWidth="1"/>
    <col min="27" max="31" width="9.5703125" style="1493" customWidth="1"/>
    <col min="32" max="16384" width="10.85546875" style="185"/>
  </cols>
  <sheetData>
    <row r="1" spans="1:32" x14ac:dyDescent="0.25">
      <c r="AC1" s="1494"/>
      <c r="AD1" s="1494"/>
      <c r="AE1" s="1494"/>
      <c r="AF1" s="25"/>
    </row>
    <row r="2" spans="1:32" ht="33" customHeight="1" thickBot="1" x14ac:dyDescent="0.3">
      <c r="B2" s="2051" t="s">
        <v>74</v>
      </c>
      <c r="C2" s="2052"/>
      <c r="D2" s="2052"/>
      <c r="E2" s="2052"/>
      <c r="F2" s="2052"/>
      <c r="G2" s="2052"/>
      <c r="H2" s="2052"/>
      <c r="I2" s="2052"/>
      <c r="J2" s="2052"/>
      <c r="K2" s="2052"/>
      <c r="L2" s="2052"/>
      <c r="M2" s="2052"/>
      <c r="N2" s="2052"/>
      <c r="O2" s="2052"/>
      <c r="P2" s="2052"/>
      <c r="Q2" s="2052"/>
      <c r="R2" s="2052"/>
      <c r="S2" s="2052"/>
      <c r="T2" s="2052"/>
      <c r="U2" s="2052"/>
      <c r="V2" s="2052"/>
      <c r="W2" s="2063"/>
      <c r="AC2" s="1495"/>
      <c r="AD2" s="1495"/>
      <c r="AE2" s="1495"/>
      <c r="AF2" s="25"/>
    </row>
    <row r="3" spans="1:32" ht="15.75" customHeight="1" thickTop="1" x14ac:dyDescent="0.25">
      <c r="B3" s="101"/>
      <c r="C3" s="101"/>
      <c r="D3" s="101"/>
      <c r="E3" s="101"/>
      <c r="F3" s="101"/>
      <c r="G3" s="101"/>
      <c r="H3" s="101"/>
      <c r="I3" s="101"/>
      <c r="J3" s="101"/>
      <c r="K3" s="101"/>
      <c r="L3" s="101"/>
      <c r="M3" s="101"/>
      <c r="N3" s="101"/>
      <c r="O3" s="101"/>
      <c r="P3" s="101"/>
      <c r="Q3" s="101"/>
      <c r="R3" s="101"/>
      <c r="S3" s="101"/>
      <c r="T3" s="101"/>
      <c r="U3" s="101"/>
      <c r="V3" s="101"/>
      <c r="W3" s="101"/>
      <c r="X3" s="101"/>
      <c r="Y3" s="368"/>
      <c r="Z3" s="1496"/>
      <c r="AA3" s="1497"/>
      <c r="AB3" s="1497"/>
      <c r="AC3" s="1497"/>
      <c r="AD3" s="1497"/>
      <c r="AE3" s="1497"/>
      <c r="AF3" s="251"/>
    </row>
    <row r="4" spans="1:32" s="349" customFormat="1" ht="26.25" customHeight="1" x14ac:dyDescent="0.25">
      <c r="B4" s="365"/>
      <c r="C4" s="2118" t="s">
        <v>295</v>
      </c>
      <c r="D4" s="2119"/>
      <c r="E4" s="2119"/>
      <c r="F4" s="2120" t="s">
        <v>296</v>
      </c>
      <c r="G4" s="2121"/>
      <c r="H4" s="2121"/>
      <c r="I4" s="2122" t="s">
        <v>101</v>
      </c>
      <c r="J4" s="2123"/>
      <c r="K4" s="2123"/>
      <c r="L4" s="2124" t="s">
        <v>299</v>
      </c>
      <c r="M4" s="2125"/>
      <c r="N4" s="2125"/>
      <c r="O4" s="2126" t="s">
        <v>495</v>
      </c>
      <c r="P4" s="2127"/>
      <c r="Q4" s="2127"/>
      <c r="R4" s="2131" t="s">
        <v>496</v>
      </c>
      <c r="S4" s="2131"/>
      <c r="T4" s="2132"/>
      <c r="U4" s="2128" t="s">
        <v>71</v>
      </c>
      <c r="V4" s="2129"/>
      <c r="W4" s="2130"/>
      <c r="X4" s="1052"/>
      <c r="Y4" s="1123"/>
      <c r="Z4" s="2098" t="s">
        <v>497</v>
      </c>
      <c r="AA4" s="2099"/>
      <c r="AB4" s="2099"/>
      <c r="AC4" s="2099"/>
      <c r="AD4" s="2099"/>
      <c r="AE4" s="2100"/>
      <c r="AF4" s="365"/>
    </row>
    <row r="5" spans="1:32" s="189" customFormat="1" ht="13.5" customHeight="1" x14ac:dyDescent="0.25">
      <c r="B5" s="199"/>
      <c r="C5" s="424"/>
      <c r="D5" s="219"/>
      <c r="E5" s="202"/>
      <c r="F5" s="212"/>
      <c r="G5" s="197"/>
      <c r="H5" s="353"/>
      <c r="I5" s="868"/>
      <c r="J5" s="973"/>
      <c r="K5" s="202"/>
      <c r="L5" s="198"/>
      <c r="M5" s="245"/>
      <c r="N5" s="202"/>
      <c r="O5" s="212"/>
      <c r="P5" s="219"/>
      <c r="Q5" s="202"/>
      <c r="R5" s="212"/>
      <c r="S5" s="219"/>
      <c r="T5" s="202"/>
      <c r="U5" s="423"/>
      <c r="V5" s="219"/>
      <c r="W5" s="202"/>
      <c r="X5" s="1053"/>
      <c r="Y5" s="1124"/>
      <c r="Z5" s="2101"/>
      <c r="AA5" s="2102"/>
      <c r="AB5" s="2102"/>
      <c r="AC5" s="2102"/>
      <c r="AD5" s="2102"/>
      <c r="AE5" s="2103"/>
      <c r="AF5" s="268"/>
    </row>
    <row r="6" spans="1:32" s="158" customFormat="1" ht="16.5" customHeight="1" x14ac:dyDescent="0.25">
      <c r="B6" s="199"/>
      <c r="C6" s="213">
        <f>'B.3.Comptes passés &amp; en cours'!C22</f>
        <v>2014</v>
      </c>
      <c r="D6" s="220">
        <f>'B.3.Comptes passés &amp; en cours'!D22</f>
        <v>2015</v>
      </c>
      <c r="E6" s="199">
        <f>'B.3.Comptes passés &amp; en cours'!E22</f>
        <v>2016</v>
      </c>
      <c r="F6" s="213">
        <f>C6</f>
        <v>2014</v>
      </c>
      <c r="G6" s="196">
        <f>D6</f>
        <v>2015</v>
      </c>
      <c r="H6" s="354">
        <f>E6</f>
        <v>2016</v>
      </c>
      <c r="I6" s="235">
        <f>C6</f>
        <v>2014</v>
      </c>
      <c r="J6" s="235">
        <f t="shared" ref="J6:Q6" si="0">D6</f>
        <v>2015</v>
      </c>
      <c r="K6" s="199">
        <f t="shared" si="0"/>
        <v>2016</v>
      </c>
      <c r="L6" s="213">
        <f t="shared" si="0"/>
        <v>2014</v>
      </c>
      <c r="M6" s="235">
        <f t="shared" si="0"/>
        <v>2015</v>
      </c>
      <c r="N6" s="199">
        <f t="shared" si="0"/>
        <v>2016</v>
      </c>
      <c r="O6" s="213">
        <f t="shared" si="0"/>
        <v>2014</v>
      </c>
      <c r="P6" s="220">
        <f t="shared" si="0"/>
        <v>2015</v>
      </c>
      <c r="Q6" s="199">
        <f t="shared" si="0"/>
        <v>2016</v>
      </c>
      <c r="R6" s="213">
        <f t="shared" ref="R6" si="1">L6</f>
        <v>2014</v>
      </c>
      <c r="S6" s="220">
        <f t="shared" ref="S6" si="2">M6</f>
        <v>2015</v>
      </c>
      <c r="T6" s="199">
        <f t="shared" ref="T6" si="3">N6</f>
        <v>2016</v>
      </c>
      <c r="U6" s="213">
        <f>L6</f>
        <v>2014</v>
      </c>
      <c r="V6" s="220">
        <f>M6</f>
        <v>2015</v>
      </c>
      <c r="W6" s="199">
        <f>N6</f>
        <v>2016</v>
      </c>
      <c r="X6" s="268"/>
      <c r="Y6" s="268"/>
      <c r="Z6" s="2104">
        <f>U6</f>
        <v>2014</v>
      </c>
      <c r="AA6" s="2105"/>
      <c r="AB6" s="2106">
        <f>V6</f>
        <v>2015</v>
      </c>
      <c r="AC6" s="2105"/>
      <c r="AD6" s="2106">
        <f>W6</f>
        <v>2016</v>
      </c>
      <c r="AE6" s="2105"/>
      <c r="AF6" s="193"/>
    </row>
    <row r="7" spans="1:32" s="158" customFormat="1" ht="16.5" customHeight="1" x14ac:dyDescent="0.25">
      <c r="B7" s="199"/>
      <c r="C7" s="766"/>
      <c r="D7" s="220"/>
      <c r="E7" s="199"/>
      <c r="F7" s="213"/>
      <c r="G7" s="196"/>
      <c r="H7" s="354"/>
      <c r="I7" s="235"/>
      <c r="J7" s="235"/>
      <c r="K7" s="199"/>
      <c r="L7" s="213"/>
      <c r="M7" s="235"/>
      <c r="N7" s="199"/>
      <c r="O7" s="213"/>
      <c r="P7" s="220"/>
      <c r="Q7" s="199"/>
      <c r="R7" s="213"/>
      <c r="S7" s="220"/>
      <c r="T7" s="199"/>
      <c r="U7" s="213"/>
      <c r="V7" s="220"/>
      <c r="W7" s="199"/>
      <c r="X7" s="268"/>
      <c r="Y7" s="268"/>
      <c r="Z7" s="1498" t="s">
        <v>78</v>
      </c>
      <c r="AA7" s="1499" t="s">
        <v>453</v>
      </c>
      <c r="AB7" s="1498" t="s">
        <v>78</v>
      </c>
      <c r="AC7" s="1499" t="s">
        <v>453</v>
      </c>
      <c r="AD7" s="1498" t="s">
        <v>78</v>
      </c>
      <c r="AE7" s="1499" t="s">
        <v>453</v>
      </c>
      <c r="AF7" s="193"/>
    </row>
    <row r="8" spans="1:32" ht="13.5" customHeight="1" x14ac:dyDescent="0.25">
      <c r="B8" s="209" t="s">
        <v>422</v>
      </c>
      <c r="C8" s="1015" t="str">
        <f>'C.4.Répartition effectifs'!N7</f>
        <v>0%</v>
      </c>
      <c r="D8" s="1000" t="str">
        <f>'C.4.Répartition effectifs'!N20</f>
        <v>0%</v>
      </c>
      <c r="E8" s="1001" t="str">
        <f>'C.4.Répartition effectifs'!N33</f>
        <v>0%</v>
      </c>
      <c r="F8" s="1002" t="str">
        <f>'C.4.Répartition effectifs'!N8</f>
        <v>0%</v>
      </c>
      <c r="G8" s="1003" t="str">
        <f>'C.4.Répartition effectifs'!N21</f>
        <v>0%</v>
      </c>
      <c r="H8" s="1004" t="str">
        <f>'C.4.Répartition effectifs'!N34</f>
        <v>0%</v>
      </c>
      <c r="I8" s="999" t="str">
        <f>'C.4.Répartition effectifs'!N9</f>
        <v>0%</v>
      </c>
      <c r="J8" s="999" t="str">
        <f>'C.4.Répartition effectifs'!N22</f>
        <v>0%</v>
      </c>
      <c r="K8" s="1001" t="str">
        <f>'C.4.Répartition effectifs'!N35</f>
        <v>0%</v>
      </c>
      <c r="L8" s="1002" t="str">
        <f>'C.4.Répartition effectifs'!N10</f>
        <v>0%</v>
      </c>
      <c r="M8" s="999" t="str">
        <f>'C.4.Répartition effectifs'!N23</f>
        <v>0%</v>
      </c>
      <c r="N8" s="1001" t="str">
        <f>'C.4.Répartition effectifs'!N36</f>
        <v>0%</v>
      </c>
      <c r="O8" s="1002" t="str">
        <f>'C.4.Répartition effectifs'!N11</f>
        <v>0%</v>
      </c>
      <c r="P8" s="1000" t="str">
        <f>'C.4.Répartition effectifs'!N24</f>
        <v>0%</v>
      </c>
      <c r="Q8" s="1001" t="str">
        <f>'C.4.Répartition effectifs'!N37</f>
        <v>0%</v>
      </c>
      <c r="R8" s="1002" t="str">
        <f>'C.4.Répartition effectifs'!N12</f>
        <v>0%</v>
      </c>
      <c r="S8" s="1000" t="str">
        <f>'C.4.Répartition effectifs'!N25</f>
        <v>0%</v>
      </c>
      <c r="T8" s="1001" t="str">
        <f>'C.4.Répartition effectifs'!N38</f>
        <v>0%</v>
      </c>
      <c r="U8" s="1002" t="str">
        <f>'C.4.Répartition effectifs'!N13</f>
        <v>0%</v>
      </c>
      <c r="V8" s="1000" t="str">
        <f>'C.4.Répartition effectifs'!N26</f>
        <v>0%</v>
      </c>
      <c r="W8" s="1001" t="str">
        <f>'C.4.Répartition effectifs'!N39</f>
        <v>0%</v>
      </c>
      <c r="X8" s="101"/>
      <c r="Y8" s="101"/>
      <c r="Z8" s="1500"/>
      <c r="AA8" s="1500"/>
      <c r="AB8" s="1500"/>
      <c r="AC8" s="1500"/>
      <c r="AD8" s="1500"/>
      <c r="AE8" s="1501"/>
      <c r="AF8" s="192"/>
    </row>
    <row r="9" spans="1:32" x14ac:dyDescent="0.25">
      <c r="B9" s="807" t="s">
        <v>92</v>
      </c>
      <c r="C9" s="1016"/>
      <c r="D9" s="1007"/>
      <c r="E9" s="1008"/>
      <c r="F9" s="1017"/>
      <c r="G9" s="1010"/>
      <c r="H9" s="1011"/>
      <c r="I9" s="1006"/>
      <c r="J9" s="1006"/>
      <c r="K9" s="1008"/>
      <c r="L9" s="1018"/>
      <c r="M9" s="1012"/>
      <c r="N9" s="1019"/>
      <c r="O9" s="1017"/>
      <c r="P9" s="1007"/>
      <c r="Q9" s="1008"/>
      <c r="R9" s="1017"/>
      <c r="S9" s="1007"/>
      <c r="T9" s="1008"/>
      <c r="U9" s="1018"/>
      <c r="V9" s="1014"/>
      <c r="W9" s="1019"/>
      <c r="X9" s="101"/>
      <c r="Y9" s="101"/>
      <c r="Z9" s="1502">
        <f>C9+F9+I9+L9+O9+R9+U9</f>
        <v>0</v>
      </c>
      <c r="AA9" s="1503">
        <f>IF(C9+F9+I9+L9+O9+R9+U9=100%," ok",C9+F9+I9+L9+O9+R9+U9-100%)</f>
        <v>-1</v>
      </c>
      <c r="AB9" s="1502">
        <f>D9+G9+J9+M9+P9+S9+V9</f>
        <v>0</v>
      </c>
      <c r="AC9" s="1504">
        <f>IF(D9+G9+J9+M9+P9+S9+V9=100%," ok",D9+G9+J9+M9+P9+S9+V9-100%)</f>
        <v>-1</v>
      </c>
      <c r="AD9" s="1505">
        <f>E9+H9+K9+N9+Q9+T9+W9</f>
        <v>0</v>
      </c>
      <c r="AE9" s="1506">
        <f>IF(E9+H9+K9+N9+Q9+T9+W9=100%," ok",E9+H9+K9+N9+Q9+T9+W9-100%)</f>
        <v>-1</v>
      </c>
      <c r="AF9" s="416"/>
    </row>
    <row r="10" spans="1:32" s="160" customFormat="1" x14ac:dyDescent="0.25">
      <c r="B10" s="200"/>
      <c r="C10" s="214"/>
      <c r="D10" s="221"/>
      <c r="E10" s="203"/>
      <c r="F10" s="214"/>
      <c r="G10" s="229"/>
      <c r="H10" s="355"/>
      <c r="I10" s="236"/>
      <c r="J10" s="236"/>
      <c r="K10" s="203"/>
      <c r="L10" s="214"/>
      <c r="M10" s="236"/>
      <c r="N10" s="203"/>
      <c r="O10" s="214"/>
      <c r="P10" s="221"/>
      <c r="Q10" s="203"/>
      <c r="R10" s="229"/>
      <c r="S10" s="229"/>
      <c r="T10" s="229"/>
      <c r="U10" s="214"/>
      <c r="V10" s="221"/>
      <c r="W10" s="203"/>
      <c r="X10" s="194"/>
      <c r="Y10" s="194"/>
      <c r="Z10" s="1507"/>
      <c r="AA10" s="1508"/>
      <c r="AB10" s="1507"/>
      <c r="AC10" s="1508"/>
      <c r="AD10" s="1507"/>
      <c r="AE10" s="1508"/>
      <c r="AF10" s="195"/>
    </row>
    <row r="11" spans="1:32" ht="14.25" customHeight="1" x14ac:dyDescent="0.25">
      <c r="B11" s="806" t="s">
        <v>285</v>
      </c>
      <c r="C11" s="226"/>
      <c r="D11" s="570"/>
      <c r="E11" s="571"/>
      <c r="F11" s="226"/>
      <c r="G11" s="230"/>
      <c r="H11" s="356"/>
      <c r="I11" s="491"/>
      <c r="J11" s="491"/>
      <c r="K11" s="571"/>
      <c r="L11" s="242"/>
      <c r="M11" s="246"/>
      <c r="N11" s="210"/>
      <c r="O11" s="1057"/>
      <c r="P11" s="1058"/>
      <c r="Q11" s="1059"/>
      <c r="R11" s="1486"/>
      <c r="S11" s="1488"/>
      <c r="T11" s="1388"/>
      <c r="U11" s="242"/>
      <c r="V11" s="246"/>
      <c r="W11" s="210"/>
      <c r="X11" s="101"/>
      <c r="Y11" s="101"/>
      <c r="Z11" s="1509"/>
      <c r="AA11" s="1509"/>
      <c r="AB11" s="1509"/>
      <c r="AC11" s="1509"/>
      <c r="AD11" s="1509"/>
      <c r="AE11" s="1510"/>
      <c r="AF11" s="192"/>
    </row>
    <row r="12" spans="1:32" ht="14.25" customHeight="1" x14ac:dyDescent="0.25">
      <c r="B12" s="807" t="s">
        <v>94</v>
      </c>
      <c r="C12" s="227"/>
      <c r="D12" s="572"/>
      <c r="E12" s="573"/>
      <c r="F12" s="227"/>
      <c r="G12" s="231"/>
      <c r="H12" s="357"/>
      <c r="I12" s="492"/>
      <c r="J12" s="492"/>
      <c r="K12" s="573"/>
      <c r="L12" s="243"/>
      <c r="M12" s="247"/>
      <c r="N12" s="211"/>
      <c r="O12" s="1060"/>
      <c r="P12" s="1061"/>
      <c r="Q12" s="1062"/>
      <c r="R12" s="1487"/>
      <c r="S12" s="1489"/>
      <c r="T12" s="1389"/>
      <c r="U12" s="243"/>
      <c r="V12" s="247"/>
      <c r="W12" s="211"/>
      <c r="X12" s="101"/>
      <c r="Y12" s="101"/>
      <c r="Z12" s="1511">
        <f>C12+F12+I12+L12+O12+R12+U12</f>
        <v>0</v>
      </c>
      <c r="AA12" s="1512"/>
      <c r="AB12" s="1513">
        <f>D12+G12+J12+M12+P12+S12+V12</f>
        <v>0</v>
      </c>
      <c r="AC12" s="1512"/>
      <c r="AD12" s="1514">
        <f>E12+H12+K12+N12+Q12+T12+W12</f>
        <v>0</v>
      </c>
      <c r="AE12" s="1515"/>
      <c r="AF12" s="192"/>
    </row>
    <row r="13" spans="1:32" ht="14.25" customHeight="1" x14ac:dyDescent="0.25">
      <c r="B13" s="201"/>
      <c r="C13" s="215"/>
      <c r="D13" s="222"/>
      <c r="E13" s="204"/>
      <c r="F13" s="215"/>
      <c r="G13" s="232"/>
      <c r="H13" s="358"/>
      <c r="I13" s="237"/>
      <c r="J13" s="237"/>
      <c r="K13" s="204"/>
      <c r="L13" s="215"/>
      <c r="M13" s="237"/>
      <c r="N13" s="204"/>
      <c r="O13" s="215"/>
      <c r="P13" s="222"/>
      <c r="Q13" s="204"/>
      <c r="R13" s="232"/>
      <c r="S13" s="232"/>
      <c r="T13" s="232"/>
      <c r="U13" s="215"/>
      <c r="V13" s="222"/>
      <c r="W13" s="204"/>
      <c r="X13" s="101"/>
      <c r="Y13" s="101"/>
      <c r="Z13" s="1507"/>
      <c r="AA13" s="1508"/>
      <c r="AB13" s="1507"/>
      <c r="AC13" s="1508"/>
      <c r="AD13" s="1507"/>
      <c r="AE13" s="1508"/>
      <c r="AF13" s="192"/>
    </row>
    <row r="14" spans="1:32" ht="14.25" customHeight="1" x14ac:dyDescent="0.25">
      <c r="A14" s="569"/>
      <c r="B14" s="837" t="s">
        <v>457</v>
      </c>
      <c r="C14" s="812">
        <f t="shared" ref="C14:W14" si="4">SUM(C15:C24)</f>
        <v>0</v>
      </c>
      <c r="D14" s="813">
        <f t="shared" si="4"/>
        <v>0</v>
      </c>
      <c r="E14" s="822">
        <f t="shared" si="4"/>
        <v>0</v>
      </c>
      <c r="F14" s="821">
        <f t="shared" si="4"/>
        <v>0</v>
      </c>
      <c r="G14" s="814">
        <f t="shared" si="4"/>
        <v>0</v>
      </c>
      <c r="H14" s="564">
        <f t="shared" si="4"/>
        <v>0</v>
      </c>
      <c r="I14" s="238">
        <f t="shared" si="4"/>
        <v>0</v>
      </c>
      <c r="J14" s="238">
        <f t="shared" si="4"/>
        <v>0</v>
      </c>
      <c r="K14" s="205">
        <f t="shared" si="4"/>
        <v>0</v>
      </c>
      <c r="L14" s="216">
        <f t="shared" si="4"/>
        <v>0</v>
      </c>
      <c r="M14" s="238">
        <f t="shared" si="4"/>
        <v>0</v>
      </c>
      <c r="N14" s="205">
        <f t="shared" si="4"/>
        <v>0</v>
      </c>
      <c r="O14" s="216">
        <f t="shared" si="4"/>
        <v>0</v>
      </c>
      <c r="P14" s="223">
        <f t="shared" si="4"/>
        <v>0</v>
      </c>
      <c r="Q14" s="205">
        <f t="shared" si="4"/>
        <v>0</v>
      </c>
      <c r="R14" s="205">
        <f t="shared" si="4"/>
        <v>0</v>
      </c>
      <c r="S14" s="205">
        <f t="shared" si="4"/>
        <v>0</v>
      </c>
      <c r="T14" s="205">
        <f t="shared" si="4"/>
        <v>0</v>
      </c>
      <c r="U14" s="216">
        <f t="shared" si="4"/>
        <v>0</v>
      </c>
      <c r="V14" s="223">
        <f t="shared" si="4"/>
        <v>0</v>
      </c>
      <c r="W14" s="205">
        <f t="shared" si="4"/>
        <v>0</v>
      </c>
      <c r="X14" s="101"/>
      <c r="Y14" s="101"/>
      <c r="Z14" s="1516">
        <f>C14+F14+I14+L14+O14+R14+U14</f>
        <v>0</v>
      </c>
      <c r="AA14" s="1517" t="str">
        <f>IF(C14+F14+I14+L14+O14+R14+U14='B.3.Comptes passés &amp; en cours'!I24," ok",C14+F14+I14+L14+O14+R14+U14-'B.3.Comptes passés &amp; en cours'!I24)</f>
        <v xml:space="preserve"> ok</v>
      </c>
      <c r="AB14" s="1518">
        <f>D14+G14+J14+M14+P14+S14+V14</f>
        <v>0</v>
      </c>
      <c r="AC14" s="1519" t="str">
        <f>IF(D14+G14+J14+M14+P14+S14+V14='B.3.Comptes passés &amp; en cours'!J24," ok",D14+G14+J14+M14+P14+S14+V14-'B.3.Comptes passés &amp; en cours'!J24)</f>
        <v xml:space="preserve"> ok</v>
      </c>
      <c r="AD14" s="1518">
        <f>E14+H14+K14+N14+Q14+T14+W14</f>
        <v>0</v>
      </c>
      <c r="AE14" s="1520" t="str">
        <f>IF(E14+H14+K14+N14+Q14+T14+W14='B.3.Comptes passés &amp; en cours'!K24," ok",E14+H14+K14+N14+Q14+T14+W14-'B.3.Comptes passés &amp; en cours'!K24)</f>
        <v xml:space="preserve"> ok</v>
      </c>
      <c r="AF14" s="192"/>
    </row>
    <row r="15" spans="1:32" x14ac:dyDescent="0.25">
      <c r="A15" s="569"/>
      <c r="B15" s="1078" t="s">
        <v>24</v>
      </c>
      <c r="C15" s="820"/>
      <c r="D15" s="576"/>
      <c r="E15" s="798"/>
      <c r="F15" s="1066"/>
      <c r="G15" s="1068"/>
      <c r="H15" s="1069"/>
      <c r="I15" s="1066"/>
      <c r="J15" s="1066"/>
      <c r="K15" s="1065"/>
      <c r="L15" s="1063"/>
      <c r="M15" s="1066"/>
      <c r="N15" s="1065"/>
      <c r="O15" s="1063"/>
      <c r="P15" s="1064"/>
      <c r="Q15" s="1065"/>
      <c r="R15" s="1490"/>
      <c r="S15" s="1068"/>
      <c r="T15" s="1067"/>
      <c r="U15" s="788"/>
      <c r="V15" s="444"/>
      <c r="W15" s="789"/>
      <c r="X15" s="101"/>
      <c r="Y15" s="101"/>
      <c r="Z15" s="1521"/>
      <c r="AA15" s="1522"/>
      <c r="AB15" s="1523"/>
      <c r="AC15" s="1522"/>
      <c r="AD15" s="1523"/>
      <c r="AE15" s="1524"/>
      <c r="AF15" s="192"/>
    </row>
    <row r="16" spans="1:32" x14ac:dyDescent="0.25">
      <c r="A16" s="569"/>
      <c r="B16" s="1078" t="s">
        <v>25</v>
      </c>
      <c r="C16" s="820"/>
      <c r="D16" s="576"/>
      <c r="E16" s="798"/>
      <c r="F16" s="1066"/>
      <c r="G16" s="1068"/>
      <c r="H16" s="1069"/>
      <c r="I16" s="1066"/>
      <c r="J16" s="1066"/>
      <c r="K16" s="1065"/>
      <c r="L16" s="1063"/>
      <c r="M16" s="1066"/>
      <c r="N16" s="1065"/>
      <c r="O16" s="1063"/>
      <c r="P16" s="1064"/>
      <c r="Q16" s="1065"/>
      <c r="R16" s="1490"/>
      <c r="S16" s="1068"/>
      <c r="T16" s="1067"/>
      <c r="U16" s="788"/>
      <c r="V16" s="444"/>
      <c r="W16" s="789"/>
      <c r="X16" s="101"/>
      <c r="Y16" s="101"/>
      <c r="Z16" s="1521"/>
      <c r="AA16" s="1525"/>
      <c r="AB16" s="1523"/>
      <c r="AC16" s="1522"/>
      <c r="AD16" s="1523"/>
      <c r="AE16" s="1524"/>
      <c r="AF16" s="192"/>
    </row>
    <row r="17" spans="1:32" x14ac:dyDescent="0.25">
      <c r="A17" s="569"/>
      <c r="B17" s="1078" t="s">
        <v>26</v>
      </c>
      <c r="C17" s="1071"/>
      <c r="D17" s="1064"/>
      <c r="E17" s="1069"/>
      <c r="F17" s="443"/>
      <c r="G17" s="836"/>
      <c r="H17" s="566"/>
      <c r="I17" s="1066"/>
      <c r="J17" s="1066"/>
      <c r="K17" s="1065"/>
      <c r="L17" s="1063"/>
      <c r="M17" s="1066"/>
      <c r="N17" s="1065"/>
      <c r="O17" s="1063"/>
      <c r="P17" s="1064"/>
      <c r="Q17" s="1065"/>
      <c r="R17" s="1490"/>
      <c r="S17" s="1068"/>
      <c r="T17" s="1067"/>
      <c r="U17" s="788"/>
      <c r="V17" s="444"/>
      <c r="W17" s="789"/>
      <c r="X17" s="101"/>
      <c r="Y17" s="101"/>
      <c r="Z17" s="1521"/>
      <c r="AA17" s="1522"/>
      <c r="AB17" s="1523"/>
      <c r="AC17" s="1522"/>
      <c r="AD17" s="1523"/>
      <c r="AE17" s="1524"/>
      <c r="AF17" s="192"/>
    </row>
    <row r="18" spans="1:32" x14ac:dyDescent="0.25">
      <c r="A18" s="569"/>
      <c r="B18" s="1078" t="s">
        <v>27</v>
      </c>
      <c r="C18" s="1071"/>
      <c r="D18" s="1064"/>
      <c r="E18" s="1069"/>
      <c r="F18" s="443"/>
      <c r="G18" s="836"/>
      <c r="H18" s="566"/>
      <c r="I18" s="1066"/>
      <c r="J18" s="1066"/>
      <c r="K18" s="1065"/>
      <c r="L18" s="1063"/>
      <c r="M18" s="1066"/>
      <c r="N18" s="1065"/>
      <c r="O18" s="1063"/>
      <c r="P18" s="1064"/>
      <c r="Q18" s="1065"/>
      <c r="R18" s="1490"/>
      <c r="S18" s="1068"/>
      <c r="T18" s="1067"/>
      <c r="U18" s="788"/>
      <c r="V18" s="444"/>
      <c r="W18" s="789"/>
      <c r="X18" s="101"/>
      <c r="Y18" s="101"/>
      <c r="Z18" s="1521"/>
      <c r="AA18" s="1522"/>
      <c r="AB18" s="1523"/>
      <c r="AC18" s="1522"/>
      <c r="AD18" s="1523"/>
      <c r="AE18" s="1524"/>
      <c r="AF18" s="192"/>
    </row>
    <row r="19" spans="1:32" x14ac:dyDescent="0.25">
      <c r="A19" s="569"/>
      <c r="B19" s="1078" t="s">
        <v>472</v>
      </c>
      <c r="C19" s="820"/>
      <c r="D19" s="576"/>
      <c r="E19" s="798"/>
      <c r="F19" s="1066"/>
      <c r="G19" s="1070"/>
      <c r="H19" s="1069"/>
      <c r="I19" s="494"/>
      <c r="J19" s="494"/>
      <c r="K19" s="577"/>
      <c r="L19" s="788"/>
      <c r="M19" s="443"/>
      <c r="N19" s="789"/>
      <c r="O19" s="1063"/>
      <c r="P19" s="1064"/>
      <c r="Q19" s="1065"/>
      <c r="R19" s="1490"/>
      <c r="S19" s="1068"/>
      <c r="T19" s="1067"/>
      <c r="U19" s="788"/>
      <c r="V19" s="444"/>
      <c r="W19" s="789"/>
      <c r="X19" s="101"/>
      <c r="Y19" s="101"/>
      <c r="Z19" s="1521"/>
      <c r="AA19" s="1522"/>
      <c r="AB19" s="1523"/>
      <c r="AC19" s="1522"/>
      <c r="AD19" s="1523"/>
      <c r="AE19" s="1524"/>
      <c r="AF19" s="192"/>
    </row>
    <row r="20" spans="1:32" x14ac:dyDescent="0.25">
      <c r="A20" s="569"/>
      <c r="B20" s="1078" t="s">
        <v>28</v>
      </c>
      <c r="C20" s="820"/>
      <c r="D20" s="576"/>
      <c r="E20" s="798"/>
      <c r="F20" s="1066"/>
      <c r="G20" s="1070"/>
      <c r="H20" s="1069"/>
      <c r="I20" s="494"/>
      <c r="J20" s="494"/>
      <c r="K20" s="577"/>
      <c r="L20" s="788"/>
      <c r="M20" s="443"/>
      <c r="N20" s="789"/>
      <c r="O20" s="1063"/>
      <c r="P20" s="1064"/>
      <c r="Q20" s="1065"/>
      <c r="R20" s="1490"/>
      <c r="S20" s="1068"/>
      <c r="T20" s="1067"/>
      <c r="U20" s="788"/>
      <c r="V20" s="444"/>
      <c r="W20" s="789"/>
      <c r="X20" s="101"/>
      <c r="Y20" s="101"/>
      <c r="Z20" s="1521"/>
      <c r="AA20" s="1522"/>
      <c r="AB20" s="1523"/>
      <c r="AC20" s="1522"/>
      <c r="AD20" s="1523"/>
      <c r="AE20" s="1524"/>
      <c r="AF20" s="192"/>
    </row>
    <row r="21" spans="1:32" x14ac:dyDescent="0.25">
      <c r="A21" s="569"/>
      <c r="B21" s="1078" t="s">
        <v>29</v>
      </c>
      <c r="C21" s="1071"/>
      <c r="D21" s="1064"/>
      <c r="E21" s="1069"/>
      <c r="F21" s="443"/>
      <c r="G21" s="836"/>
      <c r="H21" s="566"/>
      <c r="I21" s="1066"/>
      <c r="J21" s="1066"/>
      <c r="K21" s="1065"/>
      <c r="L21" s="1063"/>
      <c r="M21" s="1067"/>
      <c r="N21" s="1064"/>
      <c r="O21" s="1063"/>
      <c r="P21" s="1064"/>
      <c r="Q21" s="1065"/>
      <c r="R21" s="1490"/>
      <c r="S21" s="1068"/>
      <c r="T21" s="1067"/>
      <c r="U21" s="788"/>
      <c r="V21" s="444"/>
      <c r="W21" s="789"/>
      <c r="X21" s="101"/>
      <c r="Y21" s="101"/>
      <c r="Z21" s="1521"/>
      <c r="AA21" s="1522"/>
      <c r="AB21" s="1523"/>
      <c r="AC21" s="1522"/>
      <c r="AD21" s="1523"/>
      <c r="AE21" s="1524"/>
      <c r="AF21" s="192"/>
    </row>
    <row r="22" spans="1:32" x14ac:dyDescent="0.25">
      <c r="A22" s="569"/>
      <c r="B22" s="1078" t="s">
        <v>30</v>
      </c>
      <c r="C22" s="1071"/>
      <c r="D22" s="1064"/>
      <c r="E22" s="1069"/>
      <c r="F22" s="443"/>
      <c r="G22" s="836"/>
      <c r="H22" s="566"/>
      <c r="I22" s="1066"/>
      <c r="J22" s="1066"/>
      <c r="K22" s="1065"/>
      <c r="L22" s="1063"/>
      <c r="M22" s="1067"/>
      <c r="N22" s="1064"/>
      <c r="O22" s="1063"/>
      <c r="P22" s="1064"/>
      <c r="Q22" s="1065"/>
      <c r="R22" s="1490"/>
      <c r="S22" s="1068"/>
      <c r="T22" s="1067"/>
      <c r="U22" s="788"/>
      <c r="V22" s="444"/>
      <c r="W22" s="789"/>
      <c r="X22" s="101"/>
      <c r="Y22" s="101"/>
      <c r="Z22" s="1521"/>
      <c r="AA22" s="1522"/>
      <c r="AB22" s="1523"/>
      <c r="AC22" s="1522"/>
      <c r="AD22" s="1523"/>
      <c r="AE22" s="1524"/>
      <c r="AF22" s="192"/>
    </row>
    <row r="23" spans="1:32" x14ac:dyDescent="0.25">
      <c r="A23" s="569"/>
      <c r="B23" s="1078" t="s">
        <v>31</v>
      </c>
      <c r="C23" s="1071"/>
      <c r="D23" s="1064"/>
      <c r="E23" s="1069"/>
      <c r="F23" s="1066"/>
      <c r="G23" s="1070"/>
      <c r="H23" s="1069"/>
      <c r="I23" s="1066"/>
      <c r="J23" s="1066"/>
      <c r="K23" s="1065"/>
      <c r="L23" s="1063"/>
      <c r="M23" s="1066"/>
      <c r="N23" s="1065"/>
      <c r="O23" s="786"/>
      <c r="P23" s="576"/>
      <c r="Q23" s="577"/>
      <c r="R23" s="793"/>
      <c r="S23" s="792"/>
      <c r="T23" s="440"/>
      <c r="U23" s="788"/>
      <c r="V23" s="444"/>
      <c r="W23" s="789"/>
      <c r="X23" s="101"/>
      <c r="Y23" s="101"/>
      <c r="Z23" s="1521"/>
      <c r="AA23" s="1522"/>
      <c r="AB23" s="1523"/>
      <c r="AC23" s="1522"/>
      <c r="AD23" s="1523"/>
      <c r="AE23" s="1524"/>
      <c r="AF23" s="192"/>
    </row>
    <row r="24" spans="1:32" x14ac:dyDescent="0.25">
      <c r="A24" s="569"/>
      <c r="B24" s="1168" t="s">
        <v>470</v>
      </c>
      <c r="C24" s="815"/>
      <c r="D24" s="574"/>
      <c r="E24" s="361"/>
      <c r="F24" s="493"/>
      <c r="G24" s="362"/>
      <c r="H24" s="361"/>
      <c r="I24" s="493"/>
      <c r="J24" s="493"/>
      <c r="K24" s="575"/>
      <c r="L24" s="244"/>
      <c r="M24" s="248"/>
      <c r="N24" s="208"/>
      <c r="O24" s="228"/>
      <c r="P24" s="574"/>
      <c r="Q24" s="575"/>
      <c r="R24" s="1491"/>
      <c r="S24" s="817"/>
      <c r="T24" s="233"/>
      <c r="U24" s="244"/>
      <c r="V24" s="249"/>
      <c r="W24" s="208"/>
      <c r="X24" s="101"/>
      <c r="Y24" s="101"/>
      <c r="Z24" s="1521"/>
      <c r="AA24" s="1522"/>
      <c r="AB24" s="1523"/>
      <c r="AC24" s="1522"/>
      <c r="AD24" s="1523"/>
      <c r="AE24" s="1524"/>
      <c r="AF24" s="192"/>
    </row>
    <row r="25" spans="1:32" x14ac:dyDescent="0.25">
      <c r="A25" s="569"/>
      <c r="B25" s="832" t="s">
        <v>90</v>
      </c>
      <c r="C25" s="815"/>
      <c r="D25" s="574"/>
      <c r="E25" s="361"/>
      <c r="F25" s="493"/>
      <c r="G25" s="362"/>
      <c r="H25" s="361"/>
      <c r="I25" s="493"/>
      <c r="J25" s="493"/>
      <c r="K25" s="575"/>
      <c r="L25" s="244"/>
      <c r="M25" s="248"/>
      <c r="N25" s="208"/>
      <c r="O25" s="1063"/>
      <c r="P25" s="1064"/>
      <c r="Q25" s="1065"/>
      <c r="R25" s="1490"/>
      <c r="S25" s="1068"/>
      <c r="T25" s="1067"/>
      <c r="U25" s="244"/>
      <c r="V25" s="249"/>
      <c r="W25" s="208"/>
      <c r="X25" s="101"/>
      <c r="Y25" s="101"/>
      <c r="Z25" s="1526">
        <f>C25+F25+I25+L25+O25+R25+U25</f>
        <v>0</v>
      </c>
      <c r="AA25" s="1519" t="str">
        <f>IF(C25+F25+I25+L25+O25+R25+U25='B.3.Comptes passés &amp; en cours'!I25," ok",C25+F25+I25+L25+O25+U25-'B.3.Comptes passés &amp; en cours'!I25)</f>
        <v xml:space="preserve"> ok</v>
      </c>
      <c r="AB25" s="1527">
        <f>D25+G25+J25+M25+P25+S25+V25</f>
        <v>0</v>
      </c>
      <c r="AC25" s="1519" t="str">
        <f>IF(D25+G25+J25+M25+P25+S25+V25='B.3.Comptes passés &amp; en cours'!J25," ok",D25+G25+J25+M25+P25+S25+V25-'B.3.Comptes passés &amp; en cours'!J25)</f>
        <v xml:space="preserve"> ok</v>
      </c>
      <c r="AD25" s="1527">
        <f>E25+H25+K25+N25+Q25+T25+W25</f>
        <v>0</v>
      </c>
      <c r="AE25" s="1541" t="str">
        <f>IF(E25+H25+K25+N25+Q25+T25+W25='B.3.Comptes passés &amp; en cours'!K25," ok",E25+H25+K25+N25+Q25+T25+W25-'B.3.Comptes passés &amp; en cours'!K25)</f>
        <v xml:space="preserve"> ok</v>
      </c>
      <c r="AF25" s="192"/>
    </row>
    <row r="26" spans="1:32" x14ac:dyDescent="0.25">
      <c r="A26" s="569"/>
      <c r="B26" s="832" t="s">
        <v>91</v>
      </c>
      <c r="C26" s="815"/>
      <c r="D26" s="574"/>
      <c r="E26" s="361"/>
      <c r="F26" s="493"/>
      <c r="G26" s="362"/>
      <c r="H26" s="361"/>
      <c r="I26" s="493"/>
      <c r="J26" s="493"/>
      <c r="K26" s="575"/>
      <c r="L26" s="244"/>
      <c r="M26" s="248"/>
      <c r="N26" s="208"/>
      <c r="O26" s="228"/>
      <c r="P26" s="574"/>
      <c r="Q26" s="575"/>
      <c r="R26" s="1491"/>
      <c r="S26" s="817"/>
      <c r="T26" s="233"/>
      <c r="U26" s="244"/>
      <c r="V26" s="249"/>
      <c r="W26" s="208"/>
      <c r="X26" s="101"/>
      <c r="Y26" s="101"/>
      <c r="Z26" s="1526">
        <f t="shared" ref="Z26:Z47" si="5">C26+F26+I26+L26+O26+R26+U26</f>
        <v>0</v>
      </c>
      <c r="AA26" s="1519" t="str">
        <f>IF(C26+F26+I26+L26+O26+R26+U26='B.3.Comptes passés &amp; en cours'!I26," ok",C26+F26+I26+L26+O26+U26-'B.3.Comptes passés &amp; en cours'!I26)</f>
        <v xml:space="preserve"> ok</v>
      </c>
      <c r="AB26" s="1527">
        <f t="shared" ref="AB26:AB47" si="6">D26+G26+J26+M26+P26+S26+V26</f>
        <v>0</v>
      </c>
      <c r="AC26" s="1519" t="str">
        <f>IF(D26+G26+J26+M26+P26+S26+V26='B.3.Comptes passés &amp; en cours'!J26," ok",D26+G26+J26+M26+P26+S26+V26-'B.3.Comptes passés &amp; en cours'!J26)</f>
        <v xml:space="preserve"> ok</v>
      </c>
      <c r="AD26" s="1527">
        <f t="shared" ref="AD26:AD47" si="7">E26+H26+K26+N26+Q26+T26+W26</f>
        <v>0</v>
      </c>
      <c r="AE26" s="1541" t="str">
        <f>IF(E26+H26+K26+N26+Q26+T26+W26='B.3.Comptes passés &amp; en cours'!K26," ok",E26+H26+K26+N26+Q26+T26+W26-'B.3.Comptes passés &amp; en cours'!K26)</f>
        <v xml:space="preserve"> ok</v>
      </c>
      <c r="AF26" s="192"/>
    </row>
    <row r="27" spans="1:32" x14ac:dyDescent="0.25">
      <c r="A27" s="569"/>
      <c r="B27" s="1077" t="s">
        <v>270</v>
      </c>
      <c r="C27" s="816">
        <f>'B.3.Comptes passés &amp; en cours'!$I$27*'6.Détails activités passés'!C9</f>
        <v>0</v>
      </c>
      <c r="D27" s="224">
        <f>'B.3.Comptes passés &amp; en cours'!$J$27*'6.Détails activités passés'!D9</f>
        <v>0</v>
      </c>
      <c r="E27" s="565">
        <f>'B.3.Comptes passés &amp; en cours'!K27*'6.Détails activités passés'!E9</f>
        <v>0</v>
      </c>
      <c r="F27" s="240">
        <f>'B.3.Comptes passés &amp; en cours'!$I$27*'6.Détails activités passés'!F9</f>
        <v>0</v>
      </c>
      <c r="G27" s="800">
        <f>'B.3.Comptes passés &amp; en cours'!$J$27*'6.Détails activités passés'!G9</f>
        <v>0</v>
      </c>
      <c r="H27" s="565">
        <f>'B.3.Comptes passés &amp; en cours'!$K$27*'6.Détails activités passés'!H9</f>
        <v>0</v>
      </c>
      <c r="I27" s="240">
        <f>'B.3.Comptes passés &amp; en cours'!$I$27*'6.Détails activités passés'!I9</f>
        <v>0</v>
      </c>
      <c r="J27" s="800">
        <f>'B.3.Comptes passés &amp; en cours'!$J$27*'6.Détails activités passés'!J9</f>
        <v>0</v>
      </c>
      <c r="K27" s="565">
        <f>'B.3.Comptes passés &amp; en cours'!$K$27*'6.Détails activités passés'!K9</f>
        <v>0</v>
      </c>
      <c r="L27" s="217">
        <f>'B.3.Comptes passés &amp; en cours'!$I$27*'6.Détails activités passés'!L9</f>
        <v>0</v>
      </c>
      <c r="M27" s="240">
        <f>'B.3.Comptes passés &amp; en cours'!$J$27*'6.Détails activités passés'!M9</f>
        <v>0</v>
      </c>
      <c r="N27" s="206">
        <f>'B.3.Comptes passés &amp; en cours'!K27*'6.Détails activités passés'!N9</f>
        <v>0</v>
      </c>
      <c r="O27" s="217">
        <f>'B.3.Comptes passés &amp; en cours'!$I$27*'6.Détails activités passés'!O9</f>
        <v>0</v>
      </c>
      <c r="P27" s="224">
        <f>'B.3.Comptes passés &amp; en cours'!$J$27*'6.Détails activités passés'!P9</f>
        <v>0</v>
      </c>
      <c r="Q27" s="206">
        <f>'B.3.Comptes passés &amp; en cours'!K27*'6.Détails activités passés'!Q9</f>
        <v>0</v>
      </c>
      <c r="R27" s="217">
        <f>'B.3.Comptes passés &amp; en cours'!$I$27*'6.Détails activités passés'!R9</f>
        <v>0</v>
      </c>
      <c r="S27" s="803">
        <f>'B.3.Comptes passés &amp; en cours'!$J$27*'6.Détails activités passés'!S9</f>
        <v>0</v>
      </c>
      <c r="T27" s="206">
        <f>'B.3.Comptes passés &amp; en cours'!$K$27*'6.Détails activités passés'!T9</f>
        <v>0</v>
      </c>
      <c r="U27" s="217">
        <f>'B.3.Comptes passés &amp; en cours'!$I$27*'6.Détails activités passés'!U9</f>
        <v>0</v>
      </c>
      <c r="V27" s="224">
        <f>'B.3.Comptes passés &amp; en cours'!$J$27*'6.Détails activités passés'!V9</f>
        <v>0</v>
      </c>
      <c r="W27" s="206">
        <f>'B.3.Comptes passés &amp; en cours'!K27*'6.Détails activités passés'!W9</f>
        <v>0</v>
      </c>
      <c r="X27" s="101"/>
      <c r="Y27" s="101"/>
      <c r="Z27" s="1526">
        <f t="shared" si="5"/>
        <v>0</v>
      </c>
      <c r="AA27" s="1519" t="str">
        <f>IF(C27+F27+I27+L27+O27+R27+U27='B.3.Comptes passés &amp; en cours'!I27," ok",C27+F27+I27+L27+O27+U27-'B.3.Comptes passés &amp; en cours'!I27)</f>
        <v xml:space="preserve"> ok</v>
      </c>
      <c r="AB27" s="1527">
        <f t="shared" si="6"/>
        <v>0</v>
      </c>
      <c r="AC27" s="1519" t="str">
        <f>IF(D27+G27+J27+M27+P27+S27+V27='B.3.Comptes passés &amp; en cours'!J27," ok",D27+G27+J27+M27+P27+S27+V27-'B.3.Comptes passés &amp; en cours'!J27)</f>
        <v xml:space="preserve"> ok</v>
      </c>
      <c r="AD27" s="1527">
        <f t="shared" si="7"/>
        <v>0</v>
      </c>
      <c r="AE27" s="1541" t="str">
        <f>IF(E27+H27+K27+N27+Q27+T27+W27='B.3.Comptes passés &amp; en cours'!K27," ok",E27+H27+K27+N27+Q27+T27+W27-'B.3.Comptes passés &amp; en cours'!K27)</f>
        <v xml:space="preserve"> ok</v>
      </c>
      <c r="AF27" s="192"/>
    </row>
    <row r="28" spans="1:32" x14ac:dyDescent="0.25">
      <c r="A28" s="569"/>
      <c r="B28" s="1078" t="s">
        <v>85</v>
      </c>
      <c r="C28" s="820">
        <v>0</v>
      </c>
      <c r="D28" s="576">
        <v>0</v>
      </c>
      <c r="E28" s="798">
        <v>0</v>
      </c>
      <c r="F28" s="494"/>
      <c r="G28" s="792"/>
      <c r="H28" s="798"/>
      <c r="I28" s="494"/>
      <c r="J28" s="494"/>
      <c r="K28" s="577"/>
      <c r="L28" s="788"/>
      <c r="M28" s="443"/>
      <c r="N28" s="789"/>
      <c r="O28" s="786"/>
      <c r="P28" s="576"/>
      <c r="Q28" s="577"/>
      <c r="R28" s="786"/>
      <c r="S28" s="576"/>
      <c r="T28" s="577"/>
      <c r="U28" s="788"/>
      <c r="V28" s="444"/>
      <c r="W28" s="789"/>
      <c r="X28" s="101"/>
      <c r="Y28" s="101"/>
      <c r="Z28" s="1526">
        <f t="shared" si="5"/>
        <v>0</v>
      </c>
      <c r="AA28" s="1519" t="str">
        <f>IF(C28+F28+I28+L28+O28+R28+U28='B.3.Comptes passés &amp; en cours'!I28," ok",C28+F28+I28+L28+O28+U28-'B.3.Comptes passés &amp; en cours'!I28)</f>
        <v xml:space="preserve"> ok</v>
      </c>
      <c r="AB28" s="1527">
        <f t="shared" si="6"/>
        <v>0</v>
      </c>
      <c r="AC28" s="1519" t="str">
        <f>IF(D28+G28+J28+M28+P28+S28+V28='B.3.Comptes passés &amp; en cours'!J28," ok",D28+G28+J28+M28+P28+S28+V28-'B.3.Comptes passés &amp; en cours'!J28)</f>
        <v xml:space="preserve"> ok</v>
      </c>
      <c r="AD28" s="1527">
        <f t="shared" si="7"/>
        <v>0</v>
      </c>
      <c r="AE28" s="1541" t="str">
        <f>IF(E28+H28+K28+N28+Q28+T28+W28='B.3.Comptes passés &amp; en cours'!K28," ok",E28+H28+K28+N28+Q28+T28+W28-'B.3.Comptes passés &amp; en cours'!K28)</f>
        <v xml:space="preserve"> ok</v>
      </c>
      <c r="AF28" s="192"/>
    </row>
    <row r="29" spans="1:32" x14ac:dyDescent="0.25">
      <c r="A29" s="569"/>
      <c r="B29" s="1079" t="s">
        <v>86</v>
      </c>
      <c r="C29" s="826">
        <f>'B.3.Comptes passés &amp; en cours'!$I$29*'6.Détails activités passés'!C9</f>
        <v>0</v>
      </c>
      <c r="D29" s="827">
        <f>'B.3.Comptes passés &amp; en cours'!$J$29*'6.Détails activités passés'!D9</f>
        <v>0</v>
      </c>
      <c r="E29" s="567">
        <f>'B.3.Comptes passés &amp; en cours'!$K$29*'6.Détails activités passés'!E9</f>
        <v>0</v>
      </c>
      <c r="F29" s="445">
        <f>'B.3.Comptes passés &amp; en cours'!$I$29*'6.Détails activités passés'!F9</f>
        <v>0</v>
      </c>
      <c r="G29" s="828">
        <f>'B.3.Comptes passés &amp; en cours'!$J$29*'6.Détails activités passés'!G9</f>
        <v>0</v>
      </c>
      <c r="H29" s="567">
        <f>'B.3.Comptes passés &amp; en cours'!$K$29*'6.Détails activités passés'!H9</f>
        <v>0</v>
      </c>
      <c r="I29" s="445">
        <f>'B.3.Comptes passés &amp; en cours'!$I$29*'6.Détails activités passés'!I9</f>
        <v>0</v>
      </c>
      <c r="J29" s="445">
        <f>'B.3.Comptes passés &amp; en cours'!$J$29*'6.Détails activités passés'!J9</f>
        <v>0</v>
      </c>
      <c r="K29" s="829">
        <f>'B.3.Comptes passés &amp; en cours'!$K$29*'6.Détails activités passés'!K9</f>
        <v>0</v>
      </c>
      <c r="L29" s="830">
        <f>'B.3.Comptes passés &amp; en cours'!$I$29*'6.Détails activités passés'!L9</f>
        <v>0</v>
      </c>
      <c r="M29" s="445">
        <f>'B.3.Comptes passés &amp; en cours'!$J$29*'6.Détails activités passés'!M9</f>
        <v>0</v>
      </c>
      <c r="N29" s="829">
        <f>'B.3.Comptes passés &amp; en cours'!$K$29*'6.Détails activités passés'!N9</f>
        <v>0</v>
      </c>
      <c r="O29" s="830">
        <f>'B.3.Comptes passés &amp; en cours'!$I$29*'6.Détails activités passés'!O9</f>
        <v>0</v>
      </c>
      <c r="P29" s="827">
        <f>'B.3.Comptes passés &amp; en cours'!$J$29*'6.Détails activités passés'!P9</f>
        <v>0</v>
      </c>
      <c r="Q29" s="829">
        <f>'B.3.Comptes passés &amp; en cours'!$K$29*'6.Détails activités passés'!Q9</f>
        <v>0</v>
      </c>
      <c r="R29" s="830">
        <f>'B.3.Comptes passés &amp; en cours'!$I$29*'6.Détails activités passés'!R9</f>
        <v>0</v>
      </c>
      <c r="S29" s="827">
        <f>'B.3.Comptes passés &amp; en cours'!$J$29*'6.Détails activités passés'!S9</f>
        <v>0</v>
      </c>
      <c r="T29" s="829">
        <f>'B.3.Comptes passés &amp; en cours'!$K$29*'6.Détails activités passés'!T9</f>
        <v>0</v>
      </c>
      <c r="U29" s="830">
        <f>'B.3.Comptes passés &amp; en cours'!$I$29*'6.Détails activités passés'!U9</f>
        <v>0</v>
      </c>
      <c r="V29" s="827">
        <f>'B.3.Comptes passés &amp; en cours'!$J$29*'6.Détails activités passés'!V9</f>
        <v>0</v>
      </c>
      <c r="W29" s="829">
        <f>'B.3.Comptes passés &amp; en cours'!$K$29*'6.Détails activités passés'!W9</f>
        <v>0</v>
      </c>
      <c r="X29" s="101"/>
      <c r="Y29" s="101"/>
      <c r="Z29" s="1526">
        <f t="shared" si="5"/>
        <v>0</v>
      </c>
      <c r="AA29" s="1519" t="str">
        <f>IF(C29+F29+I29+L29+O29+R29+U29='B.3.Comptes passés &amp; en cours'!I29," ok",C29+F29+I29+L29+O29+U29-'B.3.Comptes passés &amp; en cours'!I29)</f>
        <v xml:space="preserve"> ok</v>
      </c>
      <c r="AB29" s="1527">
        <f t="shared" si="6"/>
        <v>0</v>
      </c>
      <c r="AC29" s="1519" t="str">
        <f>IF(D29+G29+J29+M29+P29+S29+V29='B.3.Comptes passés &amp; en cours'!J29," ok",D29+G29+J29+M29+P29+S29+V29-'B.3.Comptes passés &amp; en cours'!J29)</f>
        <v xml:space="preserve"> ok</v>
      </c>
      <c r="AD29" s="1527">
        <f t="shared" si="7"/>
        <v>0</v>
      </c>
      <c r="AE29" s="1541" t="str">
        <f>IF(E29+H29+K29+N29+Q29+T29+W29='B.3.Comptes passés &amp; en cours'!K29," ok",E29+H29+K29+N29+Q29+T29+W29-'B.3.Comptes passés &amp; en cours'!K29)</f>
        <v xml:space="preserve"> ok</v>
      </c>
      <c r="AF29" s="192"/>
    </row>
    <row r="30" spans="1:32" x14ac:dyDescent="0.25">
      <c r="A30" s="569"/>
      <c r="B30" s="1078" t="s">
        <v>75</v>
      </c>
      <c r="C30" s="820">
        <v>0</v>
      </c>
      <c r="D30" s="576">
        <v>0</v>
      </c>
      <c r="E30" s="798">
        <v>0</v>
      </c>
      <c r="F30" s="494"/>
      <c r="G30" s="792"/>
      <c r="H30" s="798"/>
      <c r="I30" s="494"/>
      <c r="J30" s="494"/>
      <c r="K30" s="577"/>
      <c r="L30" s="788"/>
      <c r="M30" s="443"/>
      <c r="N30" s="789"/>
      <c r="O30" s="786"/>
      <c r="P30" s="576"/>
      <c r="Q30" s="577"/>
      <c r="R30" s="786"/>
      <c r="S30" s="576"/>
      <c r="T30" s="577"/>
      <c r="U30" s="788"/>
      <c r="V30" s="444"/>
      <c r="W30" s="789"/>
      <c r="X30" s="101"/>
      <c r="Y30" s="101"/>
      <c r="Z30" s="1526">
        <f t="shared" si="5"/>
        <v>0</v>
      </c>
      <c r="AA30" s="1519" t="str">
        <f>IF(C30+F30+I30+L30+O30+R30+U30='B.3.Comptes passés &amp; en cours'!I30," ok",C30+F30+I30+L30+O30+U30-'B.3.Comptes passés &amp; en cours'!I30)</f>
        <v xml:space="preserve"> ok</v>
      </c>
      <c r="AB30" s="1527">
        <f t="shared" si="6"/>
        <v>0</v>
      </c>
      <c r="AC30" s="1519" t="str">
        <f>IF(D30+G30+J30+M30+P30+S30+V30='B.3.Comptes passés &amp; en cours'!J30," ok",D30+G30+J30+M30+P30+S30+V30-'B.3.Comptes passés &amp; en cours'!J30)</f>
        <v xml:space="preserve"> ok</v>
      </c>
      <c r="AD30" s="1527">
        <f t="shared" si="7"/>
        <v>0</v>
      </c>
      <c r="AE30" s="1541" t="str">
        <f>IF(E30+H30+K30+N30+Q30+T30+W30='B.3.Comptes passés &amp; en cours'!K30," ok",E30+H30+K30+N30+Q30+T30+W30-'B.3.Comptes passés &amp; en cours'!K30)</f>
        <v xml:space="preserve"> ok</v>
      </c>
      <c r="AF30" s="192"/>
    </row>
    <row r="31" spans="1:32" x14ac:dyDescent="0.25">
      <c r="A31" s="569"/>
      <c r="B31" s="1077" t="s">
        <v>271</v>
      </c>
      <c r="C31" s="816">
        <f>'B.3.Comptes passés &amp; en cours'!$I$31*'6.Détails activités passés'!C9</f>
        <v>0</v>
      </c>
      <c r="D31" s="224">
        <f>'B.3.Comptes passés &amp; en cours'!$J$31*'6.Détails activités passés'!D9</f>
        <v>0</v>
      </c>
      <c r="E31" s="804">
        <f>'B.3.Comptes passés &amp; en cours'!$K$31*'6.Détails activités passés'!E9</f>
        <v>0</v>
      </c>
      <c r="F31" s="240">
        <f>'B.3.Comptes passés &amp; en cours'!$I$31*'6.Détails activités passés'!F9</f>
        <v>0</v>
      </c>
      <c r="G31" s="800">
        <f>'B.3.Comptes passés &amp; en cours'!$J$31*'6.Détails activités passés'!G9</f>
        <v>0</v>
      </c>
      <c r="H31" s="565">
        <f>'B.3.Comptes passés &amp; en cours'!$K$31*'6.Détails activités passés'!H9</f>
        <v>0</v>
      </c>
      <c r="I31" s="240">
        <f>'B.3.Comptes passés &amp; en cours'!$I$31*'6.Détails activités passés'!I9</f>
        <v>0</v>
      </c>
      <c r="J31" s="240">
        <f>'B.3.Comptes passés &amp; en cours'!$J$31*'6.Détails activités passés'!J9</f>
        <v>0</v>
      </c>
      <c r="K31" s="206">
        <f>'B.3.Comptes passés &amp; en cours'!$K$31*'6.Détails activités passés'!K9</f>
        <v>0</v>
      </c>
      <c r="L31" s="217">
        <f>'B.3.Comptes passés &amp; en cours'!$I$31*'6.Détails activités passés'!L9</f>
        <v>0</v>
      </c>
      <c r="M31" s="240">
        <f>'B.3.Comptes passés &amp; en cours'!$J$31*'6.Détails activités passés'!M9</f>
        <v>0</v>
      </c>
      <c r="N31" s="206">
        <f>'B.3.Comptes passés &amp; en cours'!$K$31*'6.Détails activités passés'!N9</f>
        <v>0</v>
      </c>
      <c r="O31" s="217">
        <f>'B.3.Comptes passés &amp; en cours'!$I$31*'6.Détails activités passés'!O9</f>
        <v>0</v>
      </c>
      <c r="P31" s="224">
        <f>'B.3.Comptes passés &amp; en cours'!$J$31*'6.Détails activités passés'!P9</f>
        <v>0</v>
      </c>
      <c r="Q31" s="206">
        <f>'B.3.Comptes passés &amp; en cours'!$K$31*'6.Détails activités passés'!Q9</f>
        <v>0</v>
      </c>
      <c r="R31" s="217">
        <f>'B.3.Comptes passés &amp; en cours'!$I$31*'6.Détails activités passés'!R9</f>
        <v>0</v>
      </c>
      <c r="S31" s="224">
        <f>'B.3.Comptes passés &amp; en cours'!$J$31*'6.Détails activités passés'!S9</f>
        <v>0</v>
      </c>
      <c r="T31" s="206">
        <f>'B.3.Comptes passés &amp; en cours'!$K$31*'6.Détails activités passés'!T9</f>
        <v>0</v>
      </c>
      <c r="U31" s="217">
        <f>'B.3.Comptes passés &amp; en cours'!$I$31*'6.Détails activités passés'!U9</f>
        <v>0</v>
      </c>
      <c r="V31" s="224">
        <f>'B.3.Comptes passés &amp; en cours'!$J$31*'6.Détails activités passés'!V9</f>
        <v>0</v>
      </c>
      <c r="W31" s="206">
        <f>'B.3.Comptes passés &amp; en cours'!$K$31*'6.Détails activités passés'!W9</f>
        <v>0</v>
      </c>
      <c r="X31" s="101"/>
      <c r="Y31" s="101"/>
      <c r="Z31" s="1526">
        <f t="shared" si="5"/>
        <v>0</v>
      </c>
      <c r="AA31" s="1519" t="str">
        <f>IF(C31+F31+I31+L31+O31+R31+U31='B.3.Comptes passés &amp; en cours'!I31," ok",C31+F31+I31+L31+O31+U31-'B.3.Comptes passés &amp; en cours'!I31)</f>
        <v xml:space="preserve"> ok</v>
      </c>
      <c r="AB31" s="1527">
        <f t="shared" si="6"/>
        <v>0</v>
      </c>
      <c r="AC31" s="1519" t="str">
        <f>IF(D31+G31+J31+M31+P31+S31+V31='B.3.Comptes passés &amp; en cours'!J31," ok",D31+G31+J31+M31+P31+S31+V31-'B.3.Comptes passés &amp; en cours'!J31)</f>
        <v xml:space="preserve"> ok</v>
      </c>
      <c r="AD31" s="1527">
        <f t="shared" si="7"/>
        <v>0</v>
      </c>
      <c r="AE31" s="1541" t="str">
        <f>IF(E31+H31+K31+N31+Q31+T31+W31='B.3.Comptes passés &amp; en cours'!K31," ok",E31+H31+K31+N31+Q31+T31+W31-'B.3.Comptes passés &amp; en cours'!K31)</f>
        <v xml:space="preserve"> ok</v>
      </c>
      <c r="AF31" s="192"/>
    </row>
    <row r="32" spans="1:32" x14ac:dyDescent="0.25">
      <c r="A32" s="569"/>
      <c r="B32" s="1077" t="s">
        <v>272</v>
      </c>
      <c r="C32" s="816">
        <f>'B.3.Comptes passés &amp; en cours'!$I$32*'6.Détails activités passés'!C9</f>
        <v>0</v>
      </c>
      <c r="D32" s="224">
        <f>'B.3.Comptes passés &amp; en cours'!$J$32*'6.Détails activités passés'!D9</f>
        <v>0</v>
      </c>
      <c r="E32" s="565">
        <f>'B.3.Comptes passés &amp; en cours'!$K$32*'6.Détails activités passés'!E9</f>
        <v>0</v>
      </c>
      <c r="F32" s="240">
        <f>'B.3.Comptes passés &amp; en cours'!$I$32*'6.Détails activités passés'!F9</f>
        <v>0</v>
      </c>
      <c r="G32" s="800">
        <f>'B.3.Comptes passés &amp; en cours'!$J$32*'6.Détails activités passés'!G9</f>
        <v>0</v>
      </c>
      <c r="H32" s="565">
        <f>'B.3.Comptes passés &amp; en cours'!$K$32*'6.Détails activités passés'!H9</f>
        <v>0</v>
      </c>
      <c r="I32" s="240">
        <f>'B.3.Comptes passés &amp; en cours'!$I$32*'6.Détails activités passés'!I9</f>
        <v>0</v>
      </c>
      <c r="J32" s="240">
        <f>'B.3.Comptes passés &amp; en cours'!$J$32*'6.Détails activités passés'!J9</f>
        <v>0</v>
      </c>
      <c r="K32" s="206">
        <f>'B.3.Comptes passés &amp; en cours'!$K$32*'6.Détails activités passés'!K9</f>
        <v>0</v>
      </c>
      <c r="L32" s="217">
        <f>'B.3.Comptes passés &amp; en cours'!$I$32*'6.Détails activités passés'!L9</f>
        <v>0</v>
      </c>
      <c r="M32" s="240">
        <f>'B.3.Comptes passés &amp; en cours'!$J$32*'6.Détails activités passés'!M9</f>
        <v>0</v>
      </c>
      <c r="N32" s="206">
        <f>'B.3.Comptes passés &amp; en cours'!$K$32*'6.Détails activités passés'!N9</f>
        <v>0</v>
      </c>
      <c r="O32" s="217">
        <f>'B.3.Comptes passés &amp; en cours'!$I$32*'6.Détails activités passés'!O9</f>
        <v>0</v>
      </c>
      <c r="P32" s="224">
        <f>'B.3.Comptes passés &amp; en cours'!$J$32*'6.Détails activités passés'!P9</f>
        <v>0</v>
      </c>
      <c r="Q32" s="206">
        <f>'B.3.Comptes passés &amp; en cours'!$K$32*'6.Détails activités passés'!Q9</f>
        <v>0</v>
      </c>
      <c r="R32" s="217">
        <f>'B.3.Comptes passés &amp; en cours'!$I$32*'6.Détails activités passés'!R9</f>
        <v>0</v>
      </c>
      <c r="S32" s="224">
        <f>'B.3.Comptes passés &amp; en cours'!$J$32*'6.Détails activités passés'!S9</f>
        <v>0</v>
      </c>
      <c r="T32" s="206">
        <f>'B.3.Comptes passés &amp; en cours'!$K$32*'6.Détails activités passés'!T9</f>
        <v>0</v>
      </c>
      <c r="U32" s="217">
        <f>'B.3.Comptes passés &amp; en cours'!$I$32*'6.Détails activités passés'!U9</f>
        <v>0</v>
      </c>
      <c r="V32" s="224">
        <f>'B.3.Comptes passés &amp; en cours'!$J$32*'6.Détails activités passés'!V9</f>
        <v>0</v>
      </c>
      <c r="W32" s="206">
        <f>'B.3.Comptes passés &amp; en cours'!$K$32*'6.Détails activités passés'!W9</f>
        <v>0</v>
      </c>
      <c r="X32" s="101"/>
      <c r="Y32" s="101"/>
      <c r="Z32" s="1526">
        <f t="shared" si="5"/>
        <v>0</v>
      </c>
      <c r="AA32" s="1519" t="str">
        <f>IF(C32+F32+I32+L32+O32+R32+U32='B.3.Comptes passés &amp; en cours'!I32," ok",C32+F32+I32+L32+O32+U32-'B.3.Comptes passés &amp; en cours'!I32)</f>
        <v xml:space="preserve"> ok</v>
      </c>
      <c r="AB32" s="1527">
        <f t="shared" si="6"/>
        <v>0</v>
      </c>
      <c r="AC32" s="1519" t="str">
        <f>IF(D32+G32+J32+M32+P32+S32+V32='B.3.Comptes passés &amp; en cours'!J32," ok",D32+G32+J32+M32+P32+S32+V32-'B.3.Comptes passés &amp; en cours'!J32)</f>
        <v xml:space="preserve"> ok</v>
      </c>
      <c r="AD32" s="1527">
        <f t="shared" si="7"/>
        <v>0</v>
      </c>
      <c r="AE32" s="1541" t="str">
        <f>IF(E32+H32+K32+N32+Q32+T32+W32='B.3.Comptes passés &amp; en cours'!K32," ok",E32+H32+K32+N32+Q32+T32+W32-'B.3.Comptes passés &amp; en cours'!K32)</f>
        <v xml:space="preserve"> ok</v>
      </c>
      <c r="AF32" s="192"/>
    </row>
    <row r="33" spans="1:32" s="159" customFormat="1" ht="15" x14ac:dyDescent="0.25">
      <c r="A33" s="833"/>
      <c r="B33" s="831" t="s">
        <v>88</v>
      </c>
      <c r="C33" s="818">
        <f t="shared" ref="C33:W33" si="8">C14+C25+C26+C27+C31+C32</f>
        <v>0</v>
      </c>
      <c r="D33" s="225">
        <f t="shared" si="8"/>
        <v>0</v>
      </c>
      <c r="E33" s="568">
        <f t="shared" si="8"/>
        <v>0</v>
      </c>
      <c r="F33" s="241">
        <f t="shared" si="8"/>
        <v>0</v>
      </c>
      <c r="G33" s="819">
        <f t="shared" si="8"/>
        <v>0</v>
      </c>
      <c r="H33" s="568">
        <f t="shared" si="8"/>
        <v>0</v>
      </c>
      <c r="I33" s="241">
        <f t="shared" si="8"/>
        <v>0</v>
      </c>
      <c r="J33" s="241">
        <f t="shared" si="8"/>
        <v>0</v>
      </c>
      <c r="K33" s="207">
        <f t="shared" si="8"/>
        <v>0</v>
      </c>
      <c r="L33" s="218">
        <f t="shared" si="8"/>
        <v>0</v>
      </c>
      <c r="M33" s="241">
        <f t="shared" si="8"/>
        <v>0</v>
      </c>
      <c r="N33" s="207">
        <f t="shared" si="8"/>
        <v>0</v>
      </c>
      <c r="O33" s="218">
        <f t="shared" si="8"/>
        <v>0</v>
      </c>
      <c r="P33" s="225">
        <f t="shared" si="8"/>
        <v>0</v>
      </c>
      <c r="Q33" s="207">
        <f t="shared" si="8"/>
        <v>0</v>
      </c>
      <c r="R33" s="218">
        <f t="shared" ref="R33:T33" si="9">R14+R25+R26+R27+R31+R32</f>
        <v>0</v>
      </c>
      <c r="S33" s="225">
        <f t="shared" si="9"/>
        <v>0</v>
      </c>
      <c r="T33" s="207">
        <f t="shared" si="9"/>
        <v>0</v>
      </c>
      <c r="U33" s="218">
        <f t="shared" si="8"/>
        <v>0</v>
      </c>
      <c r="V33" s="225">
        <f t="shared" si="8"/>
        <v>0</v>
      </c>
      <c r="W33" s="207">
        <f t="shared" si="8"/>
        <v>0</v>
      </c>
      <c r="X33" s="118"/>
      <c r="Y33" s="118"/>
      <c r="Z33" s="1528">
        <f t="shared" si="5"/>
        <v>0</v>
      </c>
      <c r="AA33" s="1529" t="str">
        <f>IF(C33+F33+I33+L33+O33+R33+U33='B.3.Comptes passés &amp; en cours'!I33," ok",C33+F33+I33+L33+O33+U33-'B.3.Comptes passés &amp; en cours'!I33)</f>
        <v xml:space="preserve"> ok</v>
      </c>
      <c r="AB33" s="1530">
        <f t="shared" si="6"/>
        <v>0</v>
      </c>
      <c r="AC33" s="1529" t="str">
        <f>IF(D33+G33+J33+M33+P33+S33+V33='B.3.Comptes passés &amp; en cours'!J33," ok",D33+G33+J33+M33+P33+S33+V33-'B.3.Comptes passés &amp; en cours'!J33)</f>
        <v xml:space="preserve"> ok</v>
      </c>
      <c r="AD33" s="1530">
        <f t="shared" si="7"/>
        <v>0</v>
      </c>
      <c r="AE33" s="1542" t="str">
        <f>IF(E33+H33+K33+N33+Q33+T33+W33='B.3.Comptes passés &amp; en cours'!K33," ok",E33+H33+K33+N33+Q33+T33+W33-'B.3.Comptes passés &amp; en cours'!K33)</f>
        <v xml:space="preserve"> ok</v>
      </c>
      <c r="AF33" s="191"/>
    </row>
    <row r="34" spans="1:32" x14ac:dyDescent="0.25">
      <c r="A34" s="569"/>
      <c r="B34" s="832" t="s">
        <v>283</v>
      </c>
      <c r="C34" s="815"/>
      <c r="D34" s="574"/>
      <c r="E34" s="361"/>
      <c r="F34" s="493"/>
      <c r="G34" s="817"/>
      <c r="H34" s="361"/>
      <c r="I34" s="493"/>
      <c r="J34" s="493"/>
      <c r="K34" s="575"/>
      <c r="L34" s="244"/>
      <c r="M34" s="248"/>
      <c r="N34" s="208"/>
      <c r="O34" s="228"/>
      <c r="P34" s="574"/>
      <c r="Q34" s="575"/>
      <c r="R34" s="228"/>
      <c r="S34" s="574"/>
      <c r="T34" s="575"/>
      <c r="U34" s="244"/>
      <c r="V34" s="249"/>
      <c r="W34" s="208"/>
      <c r="X34" s="101"/>
      <c r="Y34" s="101"/>
      <c r="Z34" s="1526">
        <f t="shared" si="5"/>
        <v>0</v>
      </c>
      <c r="AA34" s="1519">
        <f>IF(C34+F34+I34+L34+O34+R34+U34='B.3.Comptes passés &amp; en cours'!C4," ok",C34+F34+I34+L34+O34+U34-'B.3.Comptes passés &amp; en cours'!C24)</f>
        <v>0</v>
      </c>
      <c r="AB34" s="1527">
        <f t="shared" si="6"/>
        <v>0</v>
      </c>
      <c r="AC34" s="1519" t="str">
        <f>IF(D34+G34+J34+M34+P34+S34+V34='B.3.Comptes passés &amp; en cours'!C24," ok",D34+G34+J34+M34+P34+S34+V34-'B.3.Comptes passés &amp; en cours'!C24)</f>
        <v xml:space="preserve"> ok</v>
      </c>
      <c r="AD34" s="1527">
        <f t="shared" si="7"/>
        <v>0</v>
      </c>
      <c r="AE34" s="1541" t="str">
        <f>IF(E34+H34+K34+N34+Q34+T34+W34='B.3.Comptes passés &amp; en cours'!C24," ok",E34+H34+K34+N34+Q34+T34+W34-'B.3.Comptes passés &amp; en cours'!C24)</f>
        <v xml:space="preserve"> ok</v>
      </c>
      <c r="AF34" s="192"/>
    </row>
    <row r="35" spans="1:32" x14ac:dyDescent="0.25">
      <c r="A35" s="569"/>
      <c r="B35" s="1077" t="s">
        <v>273</v>
      </c>
      <c r="C35" s="816">
        <f>'B.3.Comptes passés &amp; en cours'!$C$25*'6.Détails activités passés'!C9</f>
        <v>0</v>
      </c>
      <c r="D35" s="224">
        <f>'B.3.Comptes passés &amp; en cours'!$D$25*'6.Détails activités passés'!D9</f>
        <v>0</v>
      </c>
      <c r="E35" s="565">
        <f>'B.3.Comptes passés &amp; en cours'!$E$25*'6.Détails activités passés'!E9</f>
        <v>0</v>
      </c>
      <c r="F35" s="240">
        <f>'B.3.Comptes passés &amp; en cours'!$C$25*'6.Détails activités passés'!F9</f>
        <v>0</v>
      </c>
      <c r="G35" s="800">
        <f>'B.3.Comptes passés &amp; en cours'!$D$25*'6.Détails activités passés'!G9</f>
        <v>0</v>
      </c>
      <c r="H35" s="565">
        <f>'B.3.Comptes passés &amp; en cours'!$E$25*'6.Détails activités passés'!H9</f>
        <v>0</v>
      </c>
      <c r="I35" s="240">
        <f>'B.3.Comptes passés &amp; en cours'!$C$25*'6.Détails activités passés'!I9</f>
        <v>0</v>
      </c>
      <c r="J35" s="240">
        <f>'B.3.Comptes passés &amp; en cours'!$D$25*'6.Détails activités passés'!J9</f>
        <v>0</v>
      </c>
      <c r="K35" s="206">
        <f>'B.3.Comptes passés &amp; en cours'!$E$25*'6.Détails activités passés'!K9</f>
        <v>0</v>
      </c>
      <c r="L35" s="217">
        <f>'B.3.Comptes passés &amp; en cours'!$C$25*'6.Détails activités passés'!L9</f>
        <v>0</v>
      </c>
      <c r="M35" s="240">
        <f>'B.3.Comptes passés &amp; en cours'!$D$25*'6.Détails activités passés'!M9</f>
        <v>0</v>
      </c>
      <c r="N35" s="206">
        <f>'B.3.Comptes passés &amp; en cours'!$E$25*'6.Détails activités passés'!N9</f>
        <v>0</v>
      </c>
      <c r="O35" s="217">
        <f>'B.3.Comptes passés &amp; en cours'!$C$25*'6.Détails activités passés'!O9</f>
        <v>0</v>
      </c>
      <c r="P35" s="224">
        <f>'B.3.Comptes passés &amp; en cours'!$D$25*'6.Détails activités passés'!P9</f>
        <v>0</v>
      </c>
      <c r="Q35" s="206">
        <f>'B.3.Comptes passés &amp; en cours'!$E$25*'6.Détails activités passés'!Q9</f>
        <v>0</v>
      </c>
      <c r="R35" s="217">
        <f>'B.3.Comptes passés &amp; en cours'!$C$25*'6.Détails activités passés'!R9</f>
        <v>0</v>
      </c>
      <c r="S35" s="224">
        <f>'B.3.Comptes passés &amp; en cours'!$D$25*'6.Détails activités passés'!S9</f>
        <v>0</v>
      </c>
      <c r="T35" s="206">
        <f>'B.3.Comptes passés &amp; en cours'!$E$25*'6.Détails activités passés'!T9</f>
        <v>0</v>
      </c>
      <c r="U35" s="217">
        <f>'B.3.Comptes passés &amp; en cours'!$C$25*'6.Détails activités passés'!U9</f>
        <v>0</v>
      </c>
      <c r="V35" s="224">
        <f>'B.3.Comptes passés &amp; en cours'!$D$25*'6.Détails activités passés'!V9</f>
        <v>0</v>
      </c>
      <c r="W35" s="206">
        <f>'B.3.Comptes passés &amp; en cours'!$E$25*'6.Détails activités passés'!W9</f>
        <v>0</v>
      </c>
      <c r="X35" s="101"/>
      <c r="Y35" s="101"/>
      <c r="Z35" s="1526">
        <f t="shared" si="5"/>
        <v>0</v>
      </c>
      <c r="AA35" s="1519" t="str">
        <f>IF(C35+F35+I35+L35+O35+R35+U35='B.3.Comptes passés &amp; en cours'!C25," ok",C35+F35+I35+L35+O35+R35+U35-'B.3.Comptes passés &amp; en cours'!I35)</f>
        <v xml:space="preserve"> ok</v>
      </c>
      <c r="AB35" s="1527">
        <f t="shared" si="6"/>
        <v>0</v>
      </c>
      <c r="AC35" s="1519" t="str">
        <f>IF(D35+G35+J35+M35+P35+S35+V35='B.3.Comptes passés &amp; en cours'!D25," ok",D35+G35+J35+M35+P35+S35+V35-'B.3.Comptes passés &amp; en cours'!D25)</f>
        <v xml:space="preserve"> ok</v>
      </c>
      <c r="AD35" s="1527">
        <f t="shared" si="7"/>
        <v>0</v>
      </c>
      <c r="AE35" s="1541" t="str">
        <f>IF(E35+H35+K35+N35+Q35+T35+W35='B.3.Comptes passés &amp; en cours'!D25," ok",E35+H35+K35+N35+Q35+T35+W35-'B.3.Comptes passés &amp; en cours'!D25)</f>
        <v xml:space="preserve"> ok</v>
      </c>
      <c r="AF35" s="192"/>
    </row>
    <row r="36" spans="1:32" x14ac:dyDescent="0.25">
      <c r="A36" s="569"/>
      <c r="B36" s="1077" t="s">
        <v>274</v>
      </c>
      <c r="C36" s="816">
        <f>'B.3.Comptes passés &amp; en cours'!$C$26*'6.Détails activités passés'!C9</f>
        <v>0</v>
      </c>
      <c r="D36" s="224">
        <f>'B.3.Comptes passés &amp; en cours'!$D$26*'6.Détails activités passés'!D9</f>
        <v>0</v>
      </c>
      <c r="E36" s="565">
        <f>'B.3.Comptes passés &amp; en cours'!$E$26*'6.Détails activités passés'!E9</f>
        <v>0</v>
      </c>
      <c r="F36" s="240">
        <f>'B.3.Comptes passés &amp; en cours'!$C$26*'6.Détails activités passés'!F9</f>
        <v>0</v>
      </c>
      <c r="G36" s="800">
        <f>'B.3.Comptes passés &amp; en cours'!$D$26*'6.Détails activités passés'!G9</f>
        <v>0</v>
      </c>
      <c r="H36" s="565">
        <f>'B.3.Comptes passés &amp; en cours'!$E$26*'6.Détails activités passés'!H9</f>
        <v>0</v>
      </c>
      <c r="I36" s="800">
        <f>'B.3.Comptes passés &amp; en cours'!$C$26*'6.Détails activités passés'!I9</f>
        <v>0</v>
      </c>
      <c r="J36" s="240">
        <f>'B.3.Comptes passés &amp; en cours'!$D$26*'6.Détails activités passés'!J9</f>
        <v>0</v>
      </c>
      <c r="K36" s="206">
        <f>'B.3.Comptes passés &amp; en cours'!$E$26*'6.Détails activités passés'!K9</f>
        <v>0</v>
      </c>
      <c r="L36" s="794">
        <f>'B.3.Comptes passés &amp; en cours'!$C$26*'6.Détails activités passés'!L9</f>
        <v>0</v>
      </c>
      <c r="M36" s="800">
        <f>'B.3.Comptes passés &amp; en cours'!$D$26*'6.Détails activités passés'!M9</f>
        <v>0</v>
      </c>
      <c r="N36" s="206">
        <f>'B.3.Comptes passés &amp; en cours'!$E$26*'6.Détails activités passés'!N9</f>
        <v>0</v>
      </c>
      <c r="O36" s="217">
        <f>'B.3.Comptes passés &amp; en cours'!$C$26*'6.Détails activités passés'!O9</f>
        <v>0</v>
      </c>
      <c r="P36" s="803">
        <f>'B.3.Comptes passés &amp; en cours'!$D$26*'6.Détails activités passés'!P9</f>
        <v>0</v>
      </c>
      <c r="Q36" s="206">
        <f>'B.3.Comptes passés &amp; en cours'!$E$26*'6.Détails activités passés'!Q9</f>
        <v>0</v>
      </c>
      <c r="R36" s="217">
        <f>'B.3.Comptes passés &amp; en cours'!$C$26*'6.Détails activités passés'!R9</f>
        <v>0</v>
      </c>
      <c r="S36" s="803">
        <f>'B.3.Comptes passés &amp; en cours'!$D$26*'6.Détails activités passés'!S9</f>
        <v>0</v>
      </c>
      <c r="T36" s="206">
        <f>'B.3.Comptes passés &amp; en cours'!$E$26*'6.Détails activités passés'!T9</f>
        <v>0</v>
      </c>
      <c r="U36" s="217">
        <f>'B.3.Comptes passés &amp; en cours'!$C$26*'6.Détails activités passés'!U9</f>
        <v>0</v>
      </c>
      <c r="V36" s="803">
        <f>'B.3.Comptes passés &amp; en cours'!$D$26*'6.Détails activités passés'!V9</f>
        <v>0</v>
      </c>
      <c r="W36" s="206">
        <f>'B.3.Comptes passés &amp; en cours'!$E$26*'6.Détails activités passés'!W9</f>
        <v>0</v>
      </c>
      <c r="X36" s="101"/>
      <c r="Y36" s="101"/>
      <c r="Z36" s="1526">
        <f t="shared" si="5"/>
        <v>0</v>
      </c>
      <c r="AA36" s="1519" t="str">
        <f>IF(C36+F36+I36+L36+O36+R36+U36='B.3.Comptes passés &amp; en cours'!I36," ok",C36+F36+I36+L36+O36+U36-'B.3.Comptes passés &amp; en cours'!I36)</f>
        <v xml:space="preserve"> ok</v>
      </c>
      <c r="AB36" s="1527">
        <f t="shared" si="6"/>
        <v>0</v>
      </c>
      <c r="AC36" s="1519" t="str">
        <f>IF(D36+G36+J36+M36+P36+S36+V36='B.3.Comptes passés &amp; en cours'!J36," ok",D36+G36+J36+M36+P36+S36+V36-'B.3.Comptes passés &amp; en cours'!J36)</f>
        <v xml:space="preserve"> ok</v>
      </c>
      <c r="AD36" s="1527">
        <f t="shared" si="7"/>
        <v>0</v>
      </c>
      <c r="AE36" s="1541" t="str">
        <f>IF(E36+H36+K36+N36+Q36+T36+W36='B.3.Comptes passés &amp; en cours'!K36," ok",E36+H36+K36+N36+Q36+T36+W36-'B.3.Comptes passés &amp; en cours'!K36)</f>
        <v xml:space="preserve"> ok</v>
      </c>
      <c r="AF36" s="192"/>
    </row>
    <row r="37" spans="1:32" s="771" customFormat="1" x14ac:dyDescent="0.25">
      <c r="A37" s="834"/>
      <c r="B37" s="1077" t="s">
        <v>275</v>
      </c>
      <c r="C37" s="799">
        <f>C38+C39</f>
        <v>0</v>
      </c>
      <c r="D37" s="791">
        <f t="shared" ref="D37:W37" si="10">D38+D39</f>
        <v>0</v>
      </c>
      <c r="E37" s="804">
        <f t="shared" si="10"/>
        <v>0</v>
      </c>
      <c r="F37" s="791">
        <f t="shared" si="10"/>
        <v>0</v>
      </c>
      <c r="G37" s="799">
        <f t="shared" si="10"/>
        <v>0</v>
      </c>
      <c r="H37" s="418">
        <f t="shared" si="10"/>
        <v>0</v>
      </c>
      <c r="I37" s="790">
        <f t="shared" si="10"/>
        <v>0</v>
      </c>
      <c r="J37" s="799">
        <f t="shared" si="10"/>
        <v>0</v>
      </c>
      <c r="K37" s="418">
        <f t="shared" si="10"/>
        <v>0</v>
      </c>
      <c r="L37" s="790">
        <f t="shared" si="10"/>
        <v>0</v>
      </c>
      <c r="M37" s="791">
        <f t="shared" si="10"/>
        <v>0</v>
      </c>
      <c r="N37" s="418">
        <f t="shared" si="10"/>
        <v>0</v>
      </c>
      <c r="O37" s="790">
        <f t="shared" si="10"/>
        <v>0</v>
      </c>
      <c r="P37" s="791">
        <f t="shared" si="10"/>
        <v>0</v>
      </c>
      <c r="Q37" s="418">
        <f t="shared" si="10"/>
        <v>0</v>
      </c>
      <c r="R37" s="790">
        <f t="shared" ref="R37:T37" si="11">R38+R39</f>
        <v>0</v>
      </c>
      <c r="S37" s="791">
        <f t="shared" si="11"/>
        <v>0</v>
      </c>
      <c r="T37" s="418">
        <f t="shared" si="11"/>
        <v>0</v>
      </c>
      <c r="U37" s="790">
        <f t="shared" si="10"/>
        <v>0</v>
      </c>
      <c r="V37" s="791">
        <f t="shared" si="10"/>
        <v>0</v>
      </c>
      <c r="W37" s="804">
        <f t="shared" si="10"/>
        <v>0</v>
      </c>
      <c r="X37" s="769"/>
      <c r="Y37" s="769"/>
      <c r="Z37" s="1526">
        <f t="shared" si="5"/>
        <v>0</v>
      </c>
      <c r="AA37" s="1519" t="str">
        <f>IF(C37+F37+I37+L37+O37+R37+U37='B.3.Comptes passés &amp; en cours'!C27," ok",C37+F37+I37+L37+O37+U37-'B.3.Comptes passés &amp; en cours'!C27)</f>
        <v xml:space="preserve"> ok</v>
      </c>
      <c r="AB37" s="1527">
        <f t="shared" si="6"/>
        <v>0</v>
      </c>
      <c r="AC37" s="1519" t="str">
        <f>IF(D37+G37+J37+M37+P37+S37+V37='B.3.Comptes passés &amp; en cours'!D27," ok",D37+G37+J37+M37+P37+S37+V37-'B.3.Comptes passés &amp; en cours'!D27)</f>
        <v xml:space="preserve"> ok</v>
      </c>
      <c r="AD37" s="1527">
        <f t="shared" si="7"/>
        <v>0</v>
      </c>
      <c r="AE37" s="1541" t="str">
        <f>IF(E37+H37+K37+N37+Q37+T37+W37='B.3.Comptes passés &amp; en cours'!E27," ok",E37+H37+K37+N37+Q37+T37+W37-'B.3.Comptes passés &amp; en cours'!E27)</f>
        <v xml:space="preserve"> ok</v>
      </c>
    </row>
    <row r="38" spans="1:32" s="771" customFormat="1" x14ac:dyDescent="0.25">
      <c r="A38" s="834"/>
      <c r="B38" s="1079" t="s">
        <v>454</v>
      </c>
      <c r="C38" s="784">
        <f>'B.3.Comptes passés &amp; en cours'!$C$27*'6.Détails activités passés'!C9</f>
        <v>0</v>
      </c>
      <c r="D38" s="784">
        <f>'B.3.Comptes passés &amp; en cours'!$D$27*'6.Détails activités passés'!D9</f>
        <v>0</v>
      </c>
      <c r="E38" s="805">
        <f>'B.3.Comptes passés &amp; en cours'!$E$27*'6.Détails activités passés'!E9</f>
        <v>0</v>
      </c>
      <c r="F38" s="784">
        <f>'B.3.Comptes passés &amp; en cours'!$C$27*'6.Détails activités passés'!F9</f>
        <v>0</v>
      </c>
      <c r="G38" s="797">
        <f>'B.3.Comptes passés &amp; en cours'!$D$27*'6.Détails activités passés'!G9</f>
        <v>0</v>
      </c>
      <c r="H38" s="785">
        <f>'B.3.Comptes passés &amp; en cours'!$E$27*'6.Détails activités passés'!H9</f>
        <v>0</v>
      </c>
      <c r="I38" s="783">
        <f>'B.3.Comptes passés &amp; en cours'!$C$27*'6.Détails activités passés'!I9</f>
        <v>0</v>
      </c>
      <c r="J38" s="797">
        <f>'B.3.Comptes passés &amp; en cours'!$D$27*'6.Détails activités passés'!J9</f>
        <v>0</v>
      </c>
      <c r="K38" s="785">
        <f>'B.3.Comptes passés &amp; en cours'!$E$27*'6.Détails activités passés'!K9</f>
        <v>0</v>
      </c>
      <c r="L38" s="783">
        <f>'B.3.Comptes passés &amp; en cours'!$C$27*'6.Détails activités passés'!L9</f>
        <v>0</v>
      </c>
      <c r="M38" s="784">
        <f>'B.3.Comptes passés &amp; en cours'!$D$27*'6.Détails activités passés'!M9</f>
        <v>0</v>
      </c>
      <c r="N38" s="785">
        <f>'B.3.Comptes passés &amp; en cours'!$E$27*'6.Détails activités passés'!N9</f>
        <v>0</v>
      </c>
      <c r="O38" s="783">
        <f>'B.3.Comptes passés &amp; en cours'!$C$27*'6.Détails activités passés'!O9</f>
        <v>0</v>
      </c>
      <c r="P38" s="784">
        <f>'B.3.Comptes passés &amp; en cours'!$D$27*'6.Détails activités passés'!P9</f>
        <v>0</v>
      </c>
      <c r="Q38" s="785">
        <f>'B.3.Comptes passés &amp; en cours'!$E$27*'6.Détails activités passés'!Q9</f>
        <v>0</v>
      </c>
      <c r="R38" s="783">
        <f>'B.3.Comptes passés &amp; en cours'!$C$27*'6.Détails activités passés'!R9</f>
        <v>0</v>
      </c>
      <c r="S38" s="784">
        <f>'B.3.Comptes passés &amp; en cours'!$D$27*'6.Détails activités passés'!S9</f>
        <v>0</v>
      </c>
      <c r="T38" s="785">
        <f>'B.3.Comptes passés &amp; en cours'!$E$27*'6.Détails activités passés'!T9</f>
        <v>0</v>
      </c>
      <c r="U38" s="783">
        <f>'B.3.Comptes passés &amp; en cours'!$C$27*'6.Détails activités passés'!U9</f>
        <v>0</v>
      </c>
      <c r="V38" s="784">
        <f>'B.3.Comptes passés &amp; en cours'!$D$27*'6.Détails activités passés'!V9</f>
        <v>0</v>
      </c>
      <c r="W38" s="805">
        <f>'B.3.Comptes passés &amp; en cours'!$E$27*'6.Détails activités passés'!W9</f>
        <v>0</v>
      </c>
      <c r="X38" s="769"/>
      <c r="Y38" s="769"/>
      <c r="Z38" s="1526">
        <f t="shared" si="5"/>
        <v>0</v>
      </c>
      <c r="AA38" s="1522"/>
      <c r="AB38" s="1527">
        <f t="shared" si="6"/>
        <v>0</v>
      </c>
      <c r="AC38" s="1522"/>
      <c r="AD38" s="1527">
        <f t="shared" si="7"/>
        <v>0</v>
      </c>
      <c r="AE38" s="1525"/>
    </row>
    <row r="39" spans="1:32" s="771" customFormat="1" x14ac:dyDescent="0.25">
      <c r="A39" s="834"/>
      <c r="B39" s="1078" t="s">
        <v>455</v>
      </c>
      <c r="C39" s="978"/>
      <c r="D39" s="792"/>
      <c r="E39" s="798"/>
      <c r="F39" s="792"/>
      <c r="G39" s="795"/>
      <c r="H39" s="798"/>
      <c r="I39" s="792"/>
      <c r="J39" s="795"/>
      <c r="K39" s="577"/>
      <c r="L39" s="802"/>
      <c r="M39" s="801"/>
      <c r="N39" s="789"/>
      <c r="O39" s="793"/>
      <c r="P39" s="792"/>
      <c r="Q39" s="577"/>
      <c r="R39" s="793"/>
      <c r="S39" s="792"/>
      <c r="T39" s="577"/>
      <c r="U39" s="802"/>
      <c r="V39" s="801"/>
      <c r="W39" s="566"/>
      <c r="X39" s="769"/>
      <c r="Y39" s="769"/>
      <c r="Z39" s="1526">
        <f t="shared" si="5"/>
        <v>0</v>
      </c>
      <c r="AA39" s="1522"/>
      <c r="AB39" s="1527">
        <f t="shared" si="6"/>
        <v>0</v>
      </c>
      <c r="AC39" s="1522"/>
      <c r="AD39" s="1527">
        <f t="shared" si="7"/>
        <v>0</v>
      </c>
      <c r="AE39" s="1525"/>
    </row>
    <row r="40" spans="1:32" s="771" customFormat="1" x14ac:dyDescent="0.25">
      <c r="A40" s="834"/>
      <c r="B40" s="1078" t="s">
        <v>98</v>
      </c>
      <c r="C40" s="795"/>
      <c r="D40" s="792"/>
      <c r="E40" s="798"/>
      <c r="F40" s="792"/>
      <c r="G40" s="795"/>
      <c r="H40" s="823"/>
      <c r="I40" s="792"/>
      <c r="J40" s="795"/>
      <c r="K40" s="440"/>
      <c r="L40" s="802"/>
      <c r="M40" s="801"/>
      <c r="N40" s="811"/>
      <c r="O40" s="793"/>
      <c r="P40" s="792"/>
      <c r="Q40" s="440"/>
      <c r="R40" s="793"/>
      <c r="S40" s="792"/>
      <c r="T40" s="440"/>
      <c r="U40" s="802"/>
      <c r="V40" s="801"/>
      <c r="W40" s="566"/>
      <c r="X40" s="769"/>
      <c r="Y40" s="769"/>
      <c r="Z40" s="1526">
        <f t="shared" si="5"/>
        <v>0</v>
      </c>
      <c r="AA40" s="1519" t="str">
        <f>IF(C40+F40+I40+L40+O40+R40+U40='B.3.Comptes passés &amp; en cours'!C28," ok",C40+F40+I40+L40+O40+U40-'B.3.Comptes passés &amp; en cours'!C28)</f>
        <v xml:space="preserve"> ok</v>
      </c>
      <c r="AB40" s="1527">
        <f t="shared" si="6"/>
        <v>0</v>
      </c>
      <c r="AC40" s="1519" t="str">
        <f>IF(D40+G40+J40+M40+P40+S40+V40='B.3.Comptes passés &amp; en cours'!D28," ok",D40+G40+J40+M40+P40+S40+V40-'B.3.Comptes passés &amp; en cours'!D28)</f>
        <v xml:space="preserve"> ok</v>
      </c>
      <c r="AD40" s="1527">
        <f t="shared" si="7"/>
        <v>0</v>
      </c>
      <c r="AE40" s="1541" t="str">
        <f>IF(E40+H40+K40+N40+Q40+T40+W40='B.3.Comptes passés &amp; en cours'!E28," ok",E40+H40+K40+N40+Q40+T40+W40-'B.3.Comptes passés &amp; en cours'!E28)</f>
        <v xml:space="preserve"> ok</v>
      </c>
    </row>
    <row r="41" spans="1:32" s="772" customFormat="1" x14ac:dyDescent="0.25">
      <c r="A41" s="835"/>
      <c r="B41" s="1077" t="s">
        <v>276</v>
      </c>
      <c r="C41" s="796">
        <f>C42+C43</f>
        <v>0</v>
      </c>
      <c r="D41" s="800">
        <f t="shared" ref="D41:W41" si="12">D42+D43</f>
        <v>0</v>
      </c>
      <c r="E41" s="565">
        <f t="shared" si="12"/>
        <v>0</v>
      </c>
      <c r="F41" s="800">
        <f t="shared" si="12"/>
        <v>0</v>
      </c>
      <c r="G41" s="796">
        <f t="shared" si="12"/>
        <v>0</v>
      </c>
      <c r="H41" s="240">
        <f t="shared" si="12"/>
        <v>0</v>
      </c>
      <c r="I41" s="794">
        <f t="shared" si="12"/>
        <v>0</v>
      </c>
      <c r="J41" s="796">
        <f t="shared" si="12"/>
        <v>0</v>
      </c>
      <c r="K41" s="240">
        <f t="shared" si="12"/>
        <v>0</v>
      </c>
      <c r="L41" s="794">
        <f t="shared" si="12"/>
        <v>0</v>
      </c>
      <c r="M41" s="800">
        <f t="shared" si="12"/>
        <v>0</v>
      </c>
      <c r="N41" s="240">
        <f t="shared" si="12"/>
        <v>0</v>
      </c>
      <c r="O41" s="794">
        <f t="shared" si="12"/>
        <v>0</v>
      </c>
      <c r="P41" s="800">
        <f t="shared" si="12"/>
        <v>0</v>
      </c>
      <c r="Q41" s="240">
        <f t="shared" si="12"/>
        <v>0</v>
      </c>
      <c r="R41" s="794">
        <f t="shared" ref="R41:T41" si="13">R42+R43</f>
        <v>0</v>
      </c>
      <c r="S41" s="800">
        <f t="shared" si="13"/>
        <v>0</v>
      </c>
      <c r="T41" s="240">
        <f t="shared" si="13"/>
        <v>0</v>
      </c>
      <c r="U41" s="794">
        <f t="shared" si="12"/>
        <v>0</v>
      </c>
      <c r="V41" s="800">
        <f t="shared" si="12"/>
        <v>0</v>
      </c>
      <c r="W41" s="565">
        <f t="shared" si="12"/>
        <v>0</v>
      </c>
      <c r="X41" s="770"/>
      <c r="Y41" s="770"/>
      <c r="Z41" s="1526">
        <f t="shared" si="5"/>
        <v>0</v>
      </c>
      <c r="AA41" s="1519" t="str">
        <f>IF(C41+F41+I41+L41+O41+R41+U41='B.3.Comptes passés &amp; en cours'!C29," ok",C41+F41+I41+L41+O41+U41-'B.3.Comptes passés &amp; en cours'!C29)</f>
        <v xml:space="preserve"> ok</v>
      </c>
      <c r="AB41" s="1527">
        <f t="shared" si="6"/>
        <v>0</v>
      </c>
      <c r="AC41" s="1519" t="str">
        <f>IF(D41+G41+J41+M41+P41+S41+V41='B.3.Comptes passés &amp; en cours'!D29," ok",D41+G41+J41+M41+P41+S41+V41-'B.3.Comptes passés &amp; en cours'!D29)</f>
        <v xml:space="preserve"> ok</v>
      </c>
      <c r="AD41" s="1527">
        <f t="shared" si="7"/>
        <v>0</v>
      </c>
      <c r="AE41" s="1541" t="str">
        <f>IF(E41+H41+K41+N41+Q41+T41+W41='B.3.Comptes passés &amp; en cours'!E29," ok",E41+H41+K41+N41+Q41+T41+W41-'B.3.Comptes passés &amp; en cours'!E29)</f>
        <v xml:space="preserve"> ok</v>
      </c>
    </row>
    <row r="42" spans="1:32" s="772" customFormat="1" x14ac:dyDescent="0.25">
      <c r="A42" s="835"/>
      <c r="B42" s="1079" t="s">
        <v>454</v>
      </c>
      <c r="C42" s="797">
        <f>'B.3.Comptes passés &amp; en cours'!$C$29*'6.Détails activités passés'!C9</f>
        <v>0</v>
      </c>
      <c r="D42" s="784">
        <f>'B.3.Comptes passés &amp; en cours'!$D$29*'6.Détails activités passés'!D9</f>
        <v>0</v>
      </c>
      <c r="E42" s="805">
        <f>'B.3.Comptes passés &amp; en cours'!$E$29*'6.Détails activités passés'!E9</f>
        <v>0</v>
      </c>
      <c r="F42" s="784">
        <f>'B.3.Comptes passés &amp; en cours'!$C$29*'6.Détails activités passés'!F9</f>
        <v>0</v>
      </c>
      <c r="G42" s="784">
        <f>'B.3.Comptes passés &amp; en cours'!$D$29*'6.Détails activités passés'!G9</f>
        <v>0</v>
      </c>
      <c r="H42" s="785">
        <f>'B.3.Comptes passés &amp; en cours'!$E$29*'6.Détails activités passés'!H9</f>
        <v>0</v>
      </c>
      <c r="I42" s="783">
        <f>'B.3.Comptes passés &amp; en cours'!$C$29*'6.Détails activités passés'!I9</f>
        <v>0</v>
      </c>
      <c r="J42" s="797">
        <f>'B.3.Comptes passés &amp; en cours'!$D$29*'6.Détails activités passés'!J9</f>
        <v>0</v>
      </c>
      <c r="K42" s="785">
        <f>'B.3.Comptes passés &amp; en cours'!$E$29*'6.Détails activités passés'!K9</f>
        <v>0</v>
      </c>
      <c r="L42" s="783">
        <f>'B.3.Comptes passés &amp; en cours'!$C$29*'6.Détails activités passés'!L9</f>
        <v>0</v>
      </c>
      <c r="M42" s="784">
        <f>'B.3.Comptes passés &amp; en cours'!$D$29*'6.Détails activités passés'!M9</f>
        <v>0</v>
      </c>
      <c r="N42" s="785">
        <f>'B.3.Comptes passés &amp; en cours'!$E$29*'6.Détails activités passés'!N9</f>
        <v>0</v>
      </c>
      <c r="O42" s="783">
        <f>'B.3.Comptes passés &amp; en cours'!$C$29*'6.Détails activités passés'!O9</f>
        <v>0</v>
      </c>
      <c r="P42" s="784">
        <f>'B.3.Comptes passés &amp; en cours'!$D$29*'6.Détails activités passés'!P9</f>
        <v>0</v>
      </c>
      <c r="Q42" s="785">
        <f>'B.3.Comptes passés &amp; en cours'!$E$29*'6.Détails activités passés'!Q9</f>
        <v>0</v>
      </c>
      <c r="R42" s="783">
        <f>'B.3.Comptes passés &amp; en cours'!$C$29*'6.Détails activités passés'!R9</f>
        <v>0</v>
      </c>
      <c r="S42" s="784">
        <f>'B.3.Comptes passés &amp; en cours'!$D$29*'6.Détails activités passés'!S9</f>
        <v>0</v>
      </c>
      <c r="T42" s="785">
        <f>'B.3.Comptes passés &amp; en cours'!$E$29*'6.Détails activités passés'!T9</f>
        <v>0</v>
      </c>
      <c r="U42" s="783">
        <f>'B.3.Comptes passés &amp; en cours'!$C$29*'6.Détails activités passés'!U9</f>
        <v>0</v>
      </c>
      <c r="V42" s="784">
        <f>'B.3.Comptes passés &amp; en cours'!$D$29*'6.Détails activités passés'!V9</f>
        <v>0</v>
      </c>
      <c r="W42" s="805">
        <f>'B.3.Comptes passés &amp; en cours'!$E$29*'6.Détails activités passés'!W9</f>
        <v>0</v>
      </c>
      <c r="X42" s="770"/>
      <c r="Y42" s="770"/>
      <c r="Z42" s="1526">
        <f t="shared" si="5"/>
        <v>0</v>
      </c>
      <c r="AA42" s="1522"/>
      <c r="AB42" s="1527">
        <f t="shared" si="6"/>
        <v>0</v>
      </c>
      <c r="AC42" s="1522"/>
      <c r="AD42" s="1527">
        <f t="shared" si="7"/>
        <v>0</v>
      </c>
      <c r="AE42" s="1525"/>
    </row>
    <row r="43" spans="1:32" s="772" customFormat="1" x14ac:dyDescent="0.25">
      <c r="A43" s="835"/>
      <c r="B43" s="1078" t="s">
        <v>455</v>
      </c>
      <c r="C43" s="978"/>
      <c r="D43" s="494"/>
      <c r="E43" s="798"/>
      <c r="F43" s="494"/>
      <c r="G43" s="792"/>
      <c r="H43" s="798"/>
      <c r="I43" s="494"/>
      <c r="J43" s="494"/>
      <c r="K43" s="577"/>
      <c r="L43" s="802"/>
      <c r="M43" s="443"/>
      <c r="N43" s="789"/>
      <c r="O43" s="786"/>
      <c r="P43" s="787"/>
      <c r="Q43" s="577"/>
      <c r="R43" s="786"/>
      <c r="S43" s="787"/>
      <c r="T43" s="577"/>
      <c r="U43" s="788"/>
      <c r="V43" s="444"/>
      <c r="W43" s="566"/>
      <c r="X43" s="770"/>
      <c r="Y43" s="770"/>
      <c r="Z43" s="1526">
        <f t="shared" si="5"/>
        <v>0</v>
      </c>
      <c r="AA43" s="1522"/>
      <c r="AB43" s="1527">
        <f t="shared" si="6"/>
        <v>0</v>
      </c>
      <c r="AC43" s="1522"/>
      <c r="AD43" s="1527">
        <f t="shared" si="7"/>
        <v>0</v>
      </c>
      <c r="AE43" s="1525"/>
    </row>
    <row r="44" spans="1:32" s="772" customFormat="1" x14ac:dyDescent="0.25">
      <c r="A44" s="835"/>
      <c r="B44" s="1078" t="s">
        <v>98</v>
      </c>
      <c r="C44" s="795"/>
      <c r="D44" s="494"/>
      <c r="E44" s="798"/>
      <c r="F44" s="494"/>
      <c r="G44" s="792"/>
      <c r="H44" s="798"/>
      <c r="I44" s="494"/>
      <c r="J44" s="494"/>
      <c r="K44" s="577"/>
      <c r="L44" s="802"/>
      <c r="M44" s="443"/>
      <c r="N44" s="789"/>
      <c r="O44" s="786"/>
      <c r="P44" s="787"/>
      <c r="Q44" s="577"/>
      <c r="R44" s="786"/>
      <c r="S44" s="787"/>
      <c r="T44" s="577"/>
      <c r="U44" s="788"/>
      <c r="V44" s="444"/>
      <c r="W44" s="566"/>
      <c r="X44" s="770"/>
      <c r="Y44" s="770"/>
      <c r="Z44" s="1526">
        <f t="shared" si="5"/>
        <v>0</v>
      </c>
      <c r="AA44" s="1519" t="str">
        <f>IF(C44+F44+I44+L44+O44+R44+U44='B.3.Comptes passés &amp; en cours'!C30," ok",C44+F44+I44+L44+O44+U44-'B.3.Comptes passés &amp; en cours'!C30)</f>
        <v xml:space="preserve"> ok</v>
      </c>
      <c r="AB44" s="1527">
        <f t="shared" si="6"/>
        <v>0</v>
      </c>
      <c r="AC44" s="1519" t="str">
        <f>IF(D44+G44+J44+M44+P44+S44+V44='B.3.Comptes passés &amp; en cours'!D30," ok",D44+G44+J44+M44+P44+S44+V44-'B.3.Comptes passés &amp; en cours'!D30)</f>
        <v xml:space="preserve"> ok</v>
      </c>
      <c r="AD44" s="1527">
        <f t="shared" si="7"/>
        <v>0</v>
      </c>
      <c r="AE44" s="1541" t="str">
        <f>IF(E44+H44+K44+N44+Q44+T44+W44='B.3.Comptes passés &amp; en cours'!E30," ok",E44+H44+K44+N44+Q44+T44+W44-'B.3.Comptes passés &amp; en cours'!E30)</f>
        <v xml:space="preserve"> ok</v>
      </c>
    </row>
    <row r="45" spans="1:32" x14ac:dyDescent="0.25">
      <c r="A45" s="569"/>
      <c r="B45" s="1077" t="s">
        <v>277</v>
      </c>
      <c r="C45" s="816">
        <f>'B.3.Comptes passés &amp; en cours'!$C$31*'6.Détails activités passés'!C$9</f>
        <v>0</v>
      </c>
      <c r="D45" s="224">
        <f>'B.3.Comptes passés &amp; en cours'!$D$31*'6.Détails activités passés'!D$9</f>
        <v>0</v>
      </c>
      <c r="E45" s="565">
        <f>'B.3.Comptes passés &amp; en cours'!$E$31*'6.Détails activités passés'!E$9</f>
        <v>0</v>
      </c>
      <c r="F45" s="240">
        <f>'B.3.Comptes passés &amp; en cours'!$C$31*'6.Détails activités passés'!F$9</f>
        <v>0</v>
      </c>
      <c r="G45" s="800">
        <f>'B.3.Comptes passés &amp; en cours'!$D$31*'6.Détails activités passés'!G$9</f>
        <v>0</v>
      </c>
      <c r="H45" s="565">
        <f>'B.3.Comptes passés &amp; en cours'!$E$31*'6.Détails activités passés'!H$9</f>
        <v>0</v>
      </c>
      <c r="I45" s="240">
        <f>'B.3.Comptes passés &amp; en cours'!$C$31*'6.Détails activités passés'!I$9</f>
        <v>0</v>
      </c>
      <c r="J45" s="240">
        <f>'B.3.Comptes passés &amp; en cours'!$D$31*'6.Détails activités passés'!J$9</f>
        <v>0</v>
      </c>
      <c r="K45" s="206">
        <f>'B.3.Comptes passés &amp; en cours'!$E$31*'6.Détails activités passés'!K$9</f>
        <v>0</v>
      </c>
      <c r="L45" s="794">
        <f>'B.3.Comptes passés &amp; en cours'!$C$31*'6.Détails activités passés'!L$9</f>
        <v>0</v>
      </c>
      <c r="M45" s="240">
        <f>'B.3.Comptes passés &amp; en cours'!$D$31*'6.Détails activités passés'!M$9</f>
        <v>0</v>
      </c>
      <c r="N45" s="206">
        <f>'B.3.Comptes passés &amp; en cours'!$E$31*'6.Détails activités passés'!N$9</f>
        <v>0</v>
      </c>
      <c r="O45" s="217">
        <f>'B.3.Comptes passés &amp; en cours'!$C$31*'6.Détails activités passés'!O$9</f>
        <v>0</v>
      </c>
      <c r="P45" s="803">
        <f>'B.3.Comptes passés &amp; en cours'!$D$31*'6.Détails activités passés'!P$9</f>
        <v>0</v>
      </c>
      <c r="Q45" s="206">
        <f>'B.3.Comptes passés &amp; en cours'!$E$31*'6.Détails activités passés'!Q$9</f>
        <v>0</v>
      </c>
      <c r="R45" s="217">
        <f>'B.3.Comptes passés &amp; en cours'!$C$31*'6.Détails activités passés'!R$9</f>
        <v>0</v>
      </c>
      <c r="S45" s="803">
        <f>'B.3.Comptes passés &amp; en cours'!$D$31*'6.Détails activités passés'!S$9</f>
        <v>0</v>
      </c>
      <c r="T45" s="206">
        <f>'B.3.Comptes passés &amp; en cours'!$E$31*'6.Détails activités passés'!T$9</f>
        <v>0</v>
      </c>
      <c r="U45" s="217">
        <f>'B.3.Comptes passés &amp; en cours'!$C$31*'6.Détails activités passés'!U$9</f>
        <v>0</v>
      </c>
      <c r="V45" s="224">
        <f>'B.3.Comptes passés &amp; en cours'!$D$31*'6.Détails activités passés'!V$9</f>
        <v>0</v>
      </c>
      <c r="W45" s="565">
        <f>'B.3.Comptes passés &amp; en cours'!$E$31*'6.Détails activités passés'!W$9</f>
        <v>0</v>
      </c>
      <c r="X45" s="101"/>
      <c r="Y45" s="101"/>
      <c r="Z45" s="1526">
        <f t="shared" si="5"/>
        <v>0</v>
      </c>
      <c r="AA45" s="1519" t="str">
        <f>IF(C45+F45+I45+L45+O45+R45+U45='B.3.Comptes passés &amp; en cours'!C31," ok",C45+F45+I45+L45+O45+U45-'B.3.Comptes passés &amp; en cours'!C31)</f>
        <v xml:space="preserve"> ok</v>
      </c>
      <c r="AB45" s="1527">
        <f t="shared" si="6"/>
        <v>0</v>
      </c>
      <c r="AC45" s="1519" t="str">
        <f>IF(D45+G45+J45+M45+P45+S45+V45='B.3.Comptes passés &amp; en cours'!D31," ok",D45+G45+J45+M45+P45+S45+V45-'B.3.Comptes passés &amp; en cours'!D31)</f>
        <v xml:space="preserve"> ok</v>
      </c>
      <c r="AD45" s="1527">
        <f t="shared" si="7"/>
        <v>0</v>
      </c>
      <c r="AE45" s="1541" t="str">
        <f>IF(E45+H45+K45+N45+Q45+T45+W45='B.3.Comptes passés &amp; en cours'!E31," ok",E45+H45+K45+N45+Q45+T45+W45-'B.3.Comptes passés &amp; en cours'!E31)</f>
        <v xml:space="preserve"> ok</v>
      </c>
      <c r="AF45" s="192"/>
    </row>
    <row r="46" spans="1:32" x14ac:dyDescent="0.25">
      <c r="A46" s="569"/>
      <c r="B46" s="1077" t="s">
        <v>278</v>
      </c>
      <c r="C46" s="816">
        <f>'B.3.Comptes passés &amp; en cours'!$C$32*'6.Détails activités passés'!C$9</f>
        <v>0</v>
      </c>
      <c r="D46" s="224">
        <f>'B.3.Comptes passés &amp; en cours'!$D$32*'6.Détails activités passés'!D$9</f>
        <v>0</v>
      </c>
      <c r="E46" s="565">
        <f>'B.3.Comptes passés &amp; en cours'!$E$32*'6.Détails activités passés'!E$9</f>
        <v>0</v>
      </c>
      <c r="F46" s="240">
        <f>'B.3.Comptes passés &amp; en cours'!$C$32*'6.Détails activités passés'!F$9</f>
        <v>0</v>
      </c>
      <c r="G46" s="800">
        <f>'B.3.Comptes passés &amp; en cours'!$D$32*'6.Détails activités passés'!G$9</f>
        <v>0</v>
      </c>
      <c r="H46" s="565">
        <f>'B.3.Comptes passés &amp; en cours'!$E$32*'6.Détails activités passés'!H$9</f>
        <v>0</v>
      </c>
      <c r="I46" s="240">
        <f>'B.3.Comptes passés &amp; en cours'!$C$32*'6.Détails activités passés'!I$9</f>
        <v>0</v>
      </c>
      <c r="J46" s="240">
        <f>'B.3.Comptes passés &amp; en cours'!$D$32*'6.Détails activités passés'!J$9</f>
        <v>0</v>
      </c>
      <c r="K46" s="206">
        <f>'B.3.Comptes passés &amp; en cours'!$E$32*'6.Détails activités passés'!K$9</f>
        <v>0</v>
      </c>
      <c r="L46" s="217">
        <f>'B.3.Comptes passés &amp; en cours'!$C$32*'6.Détails activités passés'!L$9</f>
        <v>0</v>
      </c>
      <c r="M46" s="240">
        <f>'B.3.Comptes passés &amp; en cours'!$D$32*'6.Détails activités passés'!M$9</f>
        <v>0</v>
      </c>
      <c r="N46" s="206">
        <f>'B.3.Comptes passés &amp; en cours'!$E$32*'6.Détails activités passés'!N$9</f>
        <v>0</v>
      </c>
      <c r="O46" s="217">
        <f>'B.3.Comptes passés &amp; en cours'!$C$32*'6.Détails activités passés'!O$9</f>
        <v>0</v>
      </c>
      <c r="P46" s="224">
        <f>'B.3.Comptes passés &amp; en cours'!$D$32*'6.Détails activités passés'!P$9</f>
        <v>0</v>
      </c>
      <c r="Q46" s="206">
        <f>'B.3.Comptes passés &amp; en cours'!$E$32*'6.Détails activités passés'!Q$9</f>
        <v>0</v>
      </c>
      <c r="R46" s="217">
        <f>'B.3.Comptes passés &amp; en cours'!$C$32*'6.Détails activités passés'!R$9</f>
        <v>0</v>
      </c>
      <c r="S46" s="224">
        <f>'B.3.Comptes passés &amp; en cours'!$D$32*'6.Détails activités passés'!S$9</f>
        <v>0</v>
      </c>
      <c r="T46" s="206">
        <f>'B.3.Comptes passés &amp; en cours'!$E$32*'6.Détails activités passés'!T$9</f>
        <v>0</v>
      </c>
      <c r="U46" s="217">
        <f>'B.3.Comptes passés &amp; en cours'!$C$32*'6.Détails activités passés'!U$9</f>
        <v>0</v>
      </c>
      <c r="V46" s="224">
        <f>'B.3.Comptes passés &amp; en cours'!$D$32*'6.Détails activités passés'!V$9</f>
        <v>0</v>
      </c>
      <c r="W46" s="206">
        <f>'B.3.Comptes passés &amp; en cours'!$E$32*'6.Détails activités passés'!W$9</f>
        <v>0</v>
      </c>
      <c r="X46" s="101"/>
      <c r="Y46" s="101"/>
      <c r="Z46" s="1526">
        <f t="shared" si="5"/>
        <v>0</v>
      </c>
      <c r="AA46" s="1519" t="str">
        <f>IF(C46+F46+I46+L46+O46+R46+U46='B.3.Comptes passés &amp; en cours'!C32," ok",C46+F46+I46+L46+O46+U46-'B.3.Comptes passés &amp; en cours'!C32)</f>
        <v xml:space="preserve"> ok</v>
      </c>
      <c r="AB46" s="1527">
        <f t="shared" si="6"/>
        <v>0</v>
      </c>
      <c r="AC46" s="1519" t="str">
        <f>IF(D46+G46+J46+M46+P46+S46+V46='B.3.Comptes passés &amp; en cours'!D32," ok",D46+G46+J46+M46+P46+S46+V46-'B.3.Comptes passés &amp; en cours'!D32)</f>
        <v xml:space="preserve"> ok</v>
      </c>
      <c r="AD46" s="1527">
        <f t="shared" si="7"/>
        <v>0</v>
      </c>
      <c r="AE46" s="1541" t="str">
        <f>IF(E46+H46+K46+N46+Q46+T46+W46='B.3.Comptes passés &amp; en cours'!E32," ok",E46+H46+K46+N46+Q46+T46+W46-'B.3.Comptes passés &amp; en cours'!E32)</f>
        <v xml:space="preserve"> ok</v>
      </c>
      <c r="AF46" s="192"/>
    </row>
    <row r="47" spans="1:32" s="159" customFormat="1" ht="15" x14ac:dyDescent="0.25">
      <c r="A47" s="833"/>
      <c r="B47" s="831" t="s">
        <v>279</v>
      </c>
      <c r="C47" s="818">
        <f>C34+C35+C36+C37+C41+C45+C46</f>
        <v>0</v>
      </c>
      <c r="D47" s="225">
        <f t="shared" ref="D47:W47" si="14">D34+D35+D36+D37+D41+D45+D46</f>
        <v>0</v>
      </c>
      <c r="E47" s="568">
        <f t="shared" si="14"/>
        <v>0</v>
      </c>
      <c r="F47" s="241">
        <f t="shared" si="14"/>
        <v>0</v>
      </c>
      <c r="G47" s="819">
        <f t="shared" si="14"/>
        <v>0</v>
      </c>
      <c r="H47" s="568">
        <f t="shared" si="14"/>
        <v>0</v>
      </c>
      <c r="I47" s="241">
        <f t="shared" si="14"/>
        <v>0</v>
      </c>
      <c r="J47" s="241">
        <f t="shared" si="14"/>
        <v>0</v>
      </c>
      <c r="K47" s="207">
        <f t="shared" si="14"/>
        <v>0</v>
      </c>
      <c r="L47" s="218">
        <f t="shared" si="14"/>
        <v>0</v>
      </c>
      <c r="M47" s="241">
        <f t="shared" si="14"/>
        <v>0</v>
      </c>
      <c r="N47" s="207">
        <f t="shared" si="14"/>
        <v>0</v>
      </c>
      <c r="O47" s="218">
        <f t="shared" si="14"/>
        <v>0</v>
      </c>
      <c r="P47" s="225">
        <f t="shared" si="14"/>
        <v>0</v>
      </c>
      <c r="Q47" s="207">
        <f t="shared" si="14"/>
        <v>0</v>
      </c>
      <c r="R47" s="218">
        <f t="shared" ref="R47:T47" si="15">R34+R35+R36+R37+R41+R45+R46</f>
        <v>0</v>
      </c>
      <c r="S47" s="225">
        <f t="shared" si="15"/>
        <v>0</v>
      </c>
      <c r="T47" s="207">
        <f t="shared" si="15"/>
        <v>0</v>
      </c>
      <c r="U47" s="218">
        <f t="shared" si="14"/>
        <v>0</v>
      </c>
      <c r="V47" s="225">
        <f t="shared" si="14"/>
        <v>0</v>
      </c>
      <c r="W47" s="207">
        <f t="shared" si="14"/>
        <v>0</v>
      </c>
      <c r="X47" s="118"/>
      <c r="Y47" s="118"/>
      <c r="Z47" s="1528">
        <f t="shared" si="5"/>
        <v>0</v>
      </c>
      <c r="AA47" s="1529" t="str">
        <f>IF(C47+F47+I47+L47+O47+R47+U47='B.3.Comptes passés &amp; en cours'!C33," ok",C47+F47+I47+L47+O47+U47-'B.3.Comptes passés &amp; en cours'!C33)</f>
        <v xml:space="preserve"> ok</v>
      </c>
      <c r="AB47" s="1530">
        <f t="shared" si="6"/>
        <v>0</v>
      </c>
      <c r="AC47" s="1529" t="str">
        <f>IF(D47+G47+J47+M47+P47+S47+V47='B.3.Comptes passés &amp; en cours'!D33," ok",D47+G47+J47+M47+P47+S47+V47-'B.3.Comptes passés &amp; en cours'!D33)</f>
        <v xml:space="preserve"> ok</v>
      </c>
      <c r="AD47" s="1530">
        <f t="shared" si="7"/>
        <v>0</v>
      </c>
      <c r="AE47" s="1542" t="str">
        <f>IF(E47+H47+K47+N47+Q47+T47+W47='B.3.Comptes passés &amp; en cours'!E33," ok",E47+H47+K47+N47+Q47+T47+W47-'B.3.Comptes passés &amp; en cours'!E33)</f>
        <v xml:space="preserve"> ok</v>
      </c>
      <c r="AF47" s="191"/>
    </row>
    <row r="48" spans="1:32" x14ac:dyDescent="0.25">
      <c r="A48" s="569"/>
      <c r="B48" s="1077"/>
      <c r="C48" s="816"/>
      <c r="D48" s="224"/>
      <c r="E48" s="846"/>
      <c r="F48" s="845"/>
      <c r="G48" s="800"/>
      <c r="H48" s="565"/>
      <c r="I48" s="240"/>
      <c r="J48" s="240"/>
      <c r="K48" s="206"/>
      <c r="L48" s="840"/>
      <c r="M48" s="841"/>
      <c r="N48" s="842"/>
      <c r="O48" s="840"/>
      <c r="P48" s="843"/>
      <c r="Q48" s="842"/>
      <c r="R48" s="840"/>
      <c r="S48" s="843"/>
      <c r="T48" s="842"/>
      <c r="U48" s="217"/>
      <c r="V48" s="224"/>
      <c r="W48" s="844"/>
      <c r="X48" s="101"/>
      <c r="Y48" s="101"/>
      <c r="Z48" s="1531"/>
      <c r="AA48" s="1532"/>
      <c r="AB48" s="1533"/>
      <c r="AC48" s="1532"/>
      <c r="AD48" s="1533"/>
      <c r="AE48" s="1534"/>
      <c r="AF48" s="192"/>
    </row>
    <row r="49" spans="1:32" s="352" customFormat="1" ht="23.25" customHeight="1" x14ac:dyDescent="0.25">
      <c r="A49" s="839"/>
      <c r="B49" s="838" t="s">
        <v>260</v>
      </c>
      <c r="C49" s="1392">
        <f t="shared" ref="C49:W49" si="16">C33-C47</f>
        <v>0</v>
      </c>
      <c r="D49" s="1392">
        <f t="shared" si="16"/>
        <v>0</v>
      </c>
      <c r="E49" s="1393">
        <f t="shared" si="16"/>
        <v>0</v>
      </c>
      <c r="F49" s="1394">
        <f t="shared" si="16"/>
        <v>0</v>
      </c>
      <c r="G49" s="1395">
        <f t="shared" si="16"/>
        <v>0</v>
      </c>
      <c r="H49" s="1396">
        <f t="shared" si="16"/>
        <v>0</v>
      </c>
      <c r="I49" s="987">
        <f t="shared" si="16"/>
        <v>0</v>
      </c>
      <c r="J49" s="988">
        <f t="shared" si="16"/>
        <v>0</v>
      </c>
      <c r="K49" s="989">
        <f t="shared" si="16"/>
        <v>0</v>
      </c>
      <c r="L49" s="1397">
        <f t="shared" si="16"/>
        <v>0</v>
      </c>
      <c r="M49" s="1398">
        <f t="shared" si="16"/>
        <v>0</v>
      </c>
      <c r="N49" s="1399">
        <f t="shared" si="16"/>
        <v>0</v>
      </c>
      <c r="O49" s="990">
        <f t="shared" si="16"/>
        <v>0</v>
      </c>
      <c r="P49" s="991">
        <f t="shared" si="16"/>
        <v>0</v>
      </c>
      <c r="Q49" s="992">
        <f t="shared" si="16"/>
        <v>0</v>
      </c>
      <c r="R49" s="1586">
        <f t="shared" ref="R49:T49" si="17">R33-R47</f>
        <v>0</v>
      </c>
      <c r="S49" s="1587">
        <f t="shared" si="17"/>
        <v>0</v>
      </c>
      <c r="T49" s="1588">
        <f t="shared" si="17"/>
        <v>0</v>
      </c>
      <c r="U49" s="1400">
        <f t="shared" si="16"/>
        <v>0</v>
      </c>
      <c r="V49" s="1401">
        <f t="shared" si="16"/>
        <v>0</v>
      </c>
      <c r="W49" s="1402">
        <f t="shared" si="16"/>
        <v>0</v>
      </c>
      <c r="X49" s="351"/>
      <c r="Y49" s="351"/>
      <c r="Z49" s="1535">
        <f>C49+F49+I49+L49+O49+U49</f>
        <v>0</v>
      </c>
      <c r="AA49" s="1536" t="str">
        <f>IF(C49+F49+I49+L49+O49+U49='B.3.Comptes passés &amp; en cours'!C42," ok",C49+F49+I49+L49+O49+U49-'B.3.Comptes passés &amp; en cours'!C42)</f>
        <v xml:space="preserve"> ok</v>
      </c>
      <c r="AB49" s="1537">
        <f xml:space="preserve"> D49+G49+J49+M49+P49+V49</f>
        <v>0</v>
      </c>
      <c r="AC49" s="1536" t="str">
        <f>IF(D49+G49+J49+M49+P49+V49='B.3.Comptes passés &amp; en cours'!D42," ok",D49+G49+J49+M49+P49+V49-'B.3.Comptes passés &amp; en cours'!D42)</f>
        <v xml:space="preserve"> ok</v>
      </c>
      <c r="AD49" s="1537">
        <f>E49+H49+K49+N49+Q49+W49</f>
        <v>0</v>
      </c>
      <c r="AE49" s="1538" t="str">
        <f>IF(E49+H49+K49+N49+Q49+W49='B.3.Comptes passés &amp; en cours'!E42," ok",E49+H49+K49+N49+Q49+W49-'B.3.Comptes passés &amp; en cours'!E42)</f>
        <v xml:space="preserve"> ok</v>
      </c>
    </row>
    <row r="50" spans="1:32" x14ac:dyDescent="0.25">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539"/>
      <c r="AA50" s="1540"/>
      <c r="AB50" s="1540"/>
      <c r="AC50" s="1540"/>
      <c r="AD50" s="1540"/>
      <c r="AE50" s="1540"/>
      <c r="AF50" s="192"/>
    </row>
    <row r="51" spans="1:32" x14ac:dyDescent="0.25">
      <c r="B51" s="101"/>
      <c r="C51" s="1028"/>
      <c r="D51" s="1028"/>
      <c r="E51" s="101"/>
      <c r="F51" s="1029"/>
      <c r="G51" s="101"/>
      <c r="H51" s="101"/>
      <c r="I51" s="101"/>
      <c r="J51" s="101"/>
      <c r="K51" s="101"/>
      <c r="L51" s="101"/>
      <c r="M51" s="101"/>
      <c r="N51" s="101"/>
      <c r="O51" s="101"/>
      <c r="P51" s="101"/>
      <c r="Q51" s="101"/>
      <c r="R51" s="101"/>
      <c r="S51" s="101"/>
      <c r="T51" s="101"/>
      <c r="U51" s="101"/>
      <c r="V51" s="101"/>
      <c r="W51" s="101"/>
      <c r="X51" s="101"/>
      <c r="Y51" s="101"/>
      <c r="Z51" s="1539"/>
      <c r="AA51" s="1540"/>
      <c r="AB51" s="1540"/>
      <c r="AC51" s="1540"/>
      <c r="AD51" s="1540"/>
      <c r="AE51" s="1540"/>
      <c r="AF51" s="192"/>
    </row>
    <row r="52" spans="1:32" ht="15" customHeight="1" x14ac:dyDescent="0.25">
      <c r="B52" s="101"/>
      <c r="C52" s="1028"/>
      <c r="D52" s="1030"/>
      <c r="E52" s="1028"/>
      <c r="F52" s="1029"/>
      <c r="G52" s="101"/>
      <c r="H52" s="101"/>
      <c r="I52" s="101"/>
      <c r="J52" s="101"/>
      <c r="K52" s="101"/>
      <c r="L52" s="101"/>
      <c r="M52" s="101"/>
      <c r="N52" s="101"/>
      <c r="O52" s="101"/>
      <c r="P52" s="101"/>
      <c r="Q52" s="101"/>
      <c r="R52" s="101"/>
      <c r="S52" s="101"/>
      <c r="T52" s="101"/>
      <c r="U52" s="101"/>
      <c r="V52" s="101"/>
      <c r="W52" s="101"/>
      <c r="X52" s="101"/>
      <c r="Y52" s="101"/>
      <c r="Z52" s="1539"/>
      <c r="AA52" s="1540"/>
      <c r="AB52" s="1540"/>
      <c r="AC52" s="1540"/>
      <c r="AD52" s="1540"/>
      <c r="AE52" s="1540"/>
      <c r="AF52" s="192"/>
    </row>
    <row r="53" spans="1:32" ht="23.25" customHeight="1" x14ac:dyDescent="0.25">
      <c r="B53" s="2115" t="s">
        <v>311</v>
      </c>
      <c r="C53" s="2116"/>
      <c r="D53" s="2116"/>
      <c r="E53" s="2116"/>
      <c r="F53" s="2116"/>
      <c r="G53" s="2116"/>
      <c r="H53" s="2116"/>
      <c r="I53" s="2116"/>
      <c r="J53" s="2116"/>
      <c r="K53" s="2116"/>
      <c r="L53" s="2116"/>
      <c r="M53" s="2116"/>
      <c r="N53" s="2116"/>
      <c r="O53" s="2116"/>
      <c r="P53" s="2116"/>
      <c r="Q53" s="2116"/>
      <c r="R53" s="2116"/>
      <c r="S53" s="2116"/>
      <c r="T53" s="2116"/>
      <c r="U53" s="2116"/>
      <c r="V53" s="2116"/>
      <c r="W53" s="2117"/>
      <c r="X53" s="101"/>
      <c r="Y53" s="101"/>
      <c r="Z53" s="1539"/>
      <c r="AA53" s="1540"/>
      <c r="AB53" s="1540"/>
      <c r="AC53" s="1540"/>
      <c r="AD53" s="1540"/>
      <c r="AE53" s="1540"/>
      <c r="AF53" s="192"/>
    </row>
    <row r="54" spans="1:32" ht="15" customHeight="1" x14ac:dyDescent="0.25">
      <c r="B54" s="2107"/>
      <c r="C54" s="2108"/>
      <c r="D54" s="2108"/>
      <c r="E54" s="2108"/>
      <c r="F54" s="2108"/>
      <c r="G54" s="2108"/>
      <c r="H54" s="2108"/>
      <c r="I54" s="2108"/>
      <c r="J54" s="2108"/>
      <c r="K54" s="2108"/>
      <c r="L54" s="2108"/>
      <c r="M54" s="2108"/>
      <c r="N54" s="2108"/>
      <c r="O54" s="2108"/>
      <c r="P54" s="2108"/>
      <c r="Q54" s="2108"/>
      <c r="R54" s="2108"/>
      <c r="S54" s="2108"/>
      <c r="T54" s="2108"/>
      <c r="U54" s="2108"/>
      <c r="V54" s="2108"/>
      <c r="W54" s="2109"/>
      <c r="X54" s="101"/>
      <c r="Y54" s="101"/>
      <c r="Z54" s="1539"/>
      <c r="AA54" s="1540"/>
      <c r="AB54" s="1540"/>
      <c r="AC54" s="1540"/>
      <c r="AD54" s="1540"/>
      <c r="AE54" s="1540"/>
      <c r="AF54" s="192"/>
    </row>
    <row r="55" spans="1:32" ht="15" customHeight="1" x14ac:dyDescent="0.25">
      <c r="B55" s="2110"/>
      <c r="C55" s="2022"/>
      <c r="D55" s="2022"/>
      <c r="E55" s="2022"/>
      <c r="F55" s="2022"/>
      <c r="G55" s="2022"/>
      <c r="H55" s="2022"/>
      <c r="I55" s="2022"/>
      <c r="J55" s="2022"/>
      <c r="K55" s="2022"/>
      <c r="L55" s="2022"/>
      <c r="M55" s="2022"/>
      <c r="N55" s="2022"/>
      <c r="O55" s="2022"/>
      <c r="P55" s="2022"/>
      <c r="Q55" s="2022"/>
      <c r="R55" s="2022"/>
      <c r="S55" s="2022"/>
      <c r="T55" s="2022"/>
      <c r="U55" s="2022"/>
      <c r="V55" s="2022"/>
      <c r="W55" s="2111"/>
      <c r="X55" s="101"/>
      <c r="Y55" s="101"/>
      <c r="Z55" s="1539"/>
      <c r="AA55" s="1540"/>
      <c r="AB55" s="1540"/>
      <c r="AC55" s="1540"/>
      <c r="AD55" s="1540"/>
      <c r="AE55" s="1540"/>
      <c r="AF55" s="192"/>
    </row>
    <row r="56" spans="1:32" ht="15" customHeight="1" x14ac:dyDescent="0.25">
      <c r="B56" s="2110"/>
      <c r="C56" s="2022"/>
      <c r="D56" s="2022"/>
      <c r="E56" s="2022"/>
      <c r="F56" s="2022"/>
      <c r="G56" s="2022"/>
      <c r="H56" s="2022"/>
      <c r="I56" s="2022"/>
      <c r="J56" s="2022"/>
      <c r="K56" s="2022"/>
      <c r="L56" s="2022"/>
      <c r="M56" s="2022"/>
      <c r="N56" s="2022"/>
      <c r="O56" s="2022"/>
      <c r="P56" s="2022"/>
      <c r="Q56" s="2022"/>
      <c r="R56" s="2022"/>
      <c r="S56" s="2022"/>
      <c r="T56" s="2022"/>
      <c r="U56" s="2022"/>
      <c r="V56" s="2022"/>
      <c r="W56" s="2111"/>
    </row>
    <row r="57" spans="1:32" ht="15" customHeight="1" x14ac:dyDescent="0.25">
      <c r="B57" s="2110"/>
      <c r="C57" s="2022"/>
      <c r="D57" s="2022"/>
      <c r="E57" s="2022"/>
      <c r="F57" s="2022"/>
      <c r="G57" s="2022"/>
      <c r="H57" s="2022"/>
      <c r="I57" s="2022"/>
      <c r="J57" s="2022"/>
      <c r="K57" s="2022"/>
      <c r="L57" s="2022"/>
      <c r="M57" s="2022"/>
      <c r="N57" s="2022"/>
      <c r="O57" s="2022"/>
      <c r="P57" s="2022"/>
      <c r="Q57" s="2022"/>
      <c r="R57" s="2022"/>
      <c r="S57" s="2022"/>
      <c r="T57" s="2022"/>
      <c r="U57" s="2022"/>
      <c r="V57" s="2022"/>
      <c r="W57" s="2111"/>
    </row>
    <row r="58" spans="1:32" ht="15" customHeight="1" x14ac:dyDescent="0.25">
      <c r="B58" s="2110"/>
      <c r="C58" s="2022"/>
      <c r="D58" s="2022"/>
      <c r="E58" s="2022"/>
      <c r="F58" s="2022"/>
      <c r="G58" s="2022"/>
      <c r="H58" s="2022"/>
      <c r="I58" s="2022"/>
      <c r="J58" s="2022"/>
      <c r="K58" s="2022"/>
      <c r="L58" s="2022"/>
      <c r="M58" s="2022"/>
      <c r="N58" s="2022"/>
      <c r="O58" s="2022"/>
      <c r="P58" s="2022"/>
      <c r="Q58" s="2022"/>
      <c r="R58" s="2022"/>
      <c r="S58" s="2022"/>
      <c r="T58" s="2022"/>
      <c r="U58" s="2022"/>
      <c r="V58" s="2022"/>
      <c r="W58" s="2111"/>
    </row>
    <row r="59" spans="1:32" ht="15" customHeight="1" x14ac:dyDescent="0.25">
      <c r="B59" s="2110"/>
      <c r="C59" s="2022"/>
      <c r="D59" s="2022"/>
      <c r="E59" s="2022"/>
      <c r="F59" s="2022"/>
      <c r="G59" s="2022"/>
      <c r="H59" s="2022"/>
      <c r="I59" s="2022"/>
      <c r="J59" s="2022"/>
      <c r="K59" s="2022"/>
      <c r="L59" s="2022"/>
      <c r="M59" s="2022"/>
      <c r="N59" s="2022"/>
      <c r="O59" s="2022"/>
      <c r="P59" s="2022"/>
      <c r="Q59" s="2022"/>
      <c r="R59" s="2022"/>
      <c r="S59" s="2022"/>
      <c r="T59" s="2022"/>
      <c r="U59" s="2022"/>
      <c r="V59" s="2022"/>
      <c r="W59" s="2111"/>
    </row>
    <row r="60" spans="1:32" ht="15" customHeight="1" x14ac:dyDescent="0.25">
      <c r="B60" s="2110"/>
      <c r="C60" s="2022"/>
      <c r="D60" s="2022"/>
      <c r="E60" s="2022"/>
      <c r="F60" s="2022"/>
      <c r="G60" s="2022"/>
      <c r="H60" s="2022"/>
      <c r="I60" s="2022"/>
      <c r="J60" s="2022"/>
      <c r="K60" s="2022"/>
      <c r="L60" s="2022"/>
      <c r="M60" s="2022"/>
      <c r="N60" s="2022"/>
      <c r="O60" s="2022"/>
      <c r="P60" s="2022"/>
      <c r="Q60" s="2022"/>
      <c r="R60" s="2022"/>
      <c r="S60" s="2022"/>
      <c r="T60" s="2022"/>
      <c r="U60" s="2022"/>
      <c r="V60" s="2022"/>
      <c r="W60" s="2111"/>
    </row>
    <row r="61" spans="1:32" ht="15" customHeight="1" thickBot="1" x14ac:dyDescent="0.3">
      <c r="B61" s="2112"/>
      <c r="C61" s="2113"/>
      <c r="D61" s="2113"/>
      <c r="E61" s="2113"/>
      <c r="F61" s="2113"/>
      <c r="G61" s="2113"/>
      <c r="H61" s="2113"/>
      <c r="I61" s="2113"/>
      <c r="J61" s="2113"/>
      <c r="K61" s="2113"/>
      <c r="L61" s="2113"/>
      <c r="M61" s="2113"/>
      <c r="N61" s="2113"/>
      <c r="O61" s="2113"/>
      <c r="P61" s="2113"/>
      <c r="Q61" s="2113"/>
      <c r="R61" s="2113"/>
      <c r="S61" s="2113"/>
      <c r="T61" s="2113"/>
      <c r="U61" s="2113"/>
      <c r="V61" s="2113"/>
      <c r="W61" s="2114"/>
    </row>
    <row r="62" spans="1:32" ht="15" thickTop="1" x14ac:dyDescent="0.25"/>
  </sheetData>
  <sheetProtection password="CC57" sheet="1" objects="1" scenarios="1"/>
  <protectedRanges>
    <protectedRange sqref="B54:W61" name="Commentaires"/>
    <protectedRange sqref="C9:E9 C11:E12 C15:E16 C19:E20 C24:E26 C28:E28 C30:E30 C34:E34 C39:E40 C43:E44" name="PA PH"/>
    <protectedRange sqref="F9:H9 F11:H12 F17:H18 F21:H22 F24:H26 F28:H28 F30:H30 F34:H34 F39:H40 F43:H44" name="Famille"/>
    <protectedRange sqref="I9:K9 I11:K12 I19:K20 I24:K26 I28:K28 I30:K30 I34:K34 I39:K40 I43:K44" name="Mandataire"/>
    <protectedRange sqref="L9:N9 L11:N12 L19:N20 L24:N26 L28:N28 L30:N30 L34:N34 L39:N40 L43:N44" name="Confort"/>
    <protectedRange sqref="O9:Q9 O23:Q24 O26:Q26 O28:Q28 O30:Q30 O34:Q34 O39:Q40 O43:Q44" name="SSIAD"/>
    <protectedRange sqref="R9:T9 R23:T24 R26:T26 R28:R29 R28 R28 R28 R29 R28:T28 R30:T30 R34:T34 R39:T40 R43:T44" name="CSI"/>
    <protectedRange sqref="U9:W9 U11:W12 U15:W26 U28:W28 U30:W30 U34:W34 U39:W39 U40:W41 T41:W41 T41 U43:W44" name="Autres"/>
  </protectedRanges>
  <mergeCells count="14">
    <mergeCell ref="B2:W2"/>
    <mergeCell ref="C4:E4"/>
    <mergeCell ref="F4:H4"/>
    <mergeCell ref="I4:K4"/>
    <mergeCell ref="L4:N4"/>
    <mergeCell ref="O4:Q4"/>
    <mergeCell ref="U4:W4"/>
    <mergeCell ref="R4:T4"/>
    <mergeCell ref="Z4:AE5"/>
    <mergeCell ref="Z6:AA6"/>
    <mergeCell ref="AB6:AC6"/>
    <mergeCell ref="AD6:AE6"/>
    <mergeCell ref="B54:W61"/>
    <mergeCell ref="B53:W53"/>
  </mergeCells>
  <pageMargins left="0.70866141732283472" right="0.70866141732283472" top="0.74803149606299213" bottom="0.74803149606299213" header="0.31496062992125984" footer="0.31496062992125984"/>
  <pageSetup paperSize="9" scale="41"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Z46"/>
  <sheetViews>
    <sheetView showGridLines="0" zoomScale="80" zoomScaleNormal="80" zoomScaleSheetLayoutView="100" workbookViewId="0">
      <pane xSplit="1" ySplit="6" topLeftCell="B25" activePane="bottomRight" state="frozen"/>
      <selection activeCell="C14" sqref="C14:D14"/>
      <selection pane="topRight" activeCell="C14" sqref="C14:D14"/>
      <selection pane="bottomLeft" activeCell="C14" sqref="C14:D14"/>
      <selection pane="bottomRight" activeCell="H7" sqref="H7"/>
    </sheetView>
  </sheetViews>
  <sheetFormatPr baseColWidth="10" defaultColWidth="10.85546875" defaultRowHeight="14.25" x14ac:dyDescent="0.25"/>
  <cols>
    <col min="1" max="1" width="1.140625" style="185" customWidth="1"/>
    <col min="2" max="2" width="22.7109375" style="185" customWidth="1"/>
    <col min="3" max="3" width="4" style="185" customWidth="1"/>
    <col min="4" max="4" width="16.28515625" style="185" customWidth="1"/>
    <col min="5" max="9" width="11.7109375" style="185" customWidth="1"/>
    <col min="10" max="10" width="1.42578125" style="185" customWidth="1"/>
    <col min="11" max="11" width="2.28515625" style="185" customWidth="1"/>
    <col min="12" max="18" width="10.140625" style="185" customWidth="1"/>
    <col min="19" max="19" width="0.7109375" style="185" customWidth="1"/>
    <col min="20" max="16384" width="10.85546875" style="185"/>
  </cols>
  <sheetData>
    <row r="1" spans="1:22" ht="9.75" customHeight="1" x14ac:dyDescent="0.25">
      <c r="A1" s="8"/>
      <c r="B1" s="448"/>
      <c r="C1" s="448"/>
      <c r="D1" s="448"/>
      <c r="E1" s="448"/>
      <c r="F1" s="448"/>
      <c r="G1" s="448"/>
      <c r="H1" s="448"/>
      <c r="I1" s="187"/>
      <c r="J1" s="25"/>
    </row>
    <row r="2" spans="1:22" ht="36" customHeight="1" thickBot="1" x14ac:dyDescent="0.3">
      <c r="A2" s="449"/>
      <c r="B2" s="2147" t="s">
        <v>303</v>
      </c>
      <c r="C2" s="2148"/>
      <c r="D2" s="2148"/>
      <c r="E2" s="2148"/>
      <c r="F2" s="2148"/>
      <c r="G2" s="2148"/>
      <c r="H2" s="2148"/>
      <c r="I2" s="2148"/>
      <c r="J2" s="2149"/>
      <c r="L2" s="2150" t="s">
        <v>306</v>
      </c>
      <c r="M2" s="2151"/>
      <c r="N2" s="2151"/>
      <c r="O2" s="2151"/>
      <c r="P2" s="2151"/>
      <c r="Q2" s="2151"/>
      <c r="R2" s="2151"/>
      <c r="S2" s="2152"/>
    </row>
    <row r="3" spans="1:22" ht="8.25" customHeight="1" thickTop="1" x14ac:dyDescent="0.25">
      <c r="A3" s="8"/>
      <c r="B3" s="12"/>
      <c r="C3" s="12"/>
      <c r="D3" s="12"/>
      <c r="E3" s="12"/>
      <c r="F3" s="12"/>
      <c r="G3" s="25"/>
      <c r="H3" s="25"/>
      <c r="I3" s="25"/>
      <c r="J3" s="25"/>
    </row>
    <row r="4" spans="1:22" ht="64.5" customHeight="1" x14ac:dyDescent="0.25">
      <c r="A4" s="12"/>
      <c r="B4" s="2153" t="s">
        <v>543</v>
      </c>
      <c r="C4" s="2154"/>
      <c r="D4" s="2154"/>
      <c r="E4" s="2154"/>
      <c r="F4" s="2154"/>
      <c r="G4" s="2154"/>
      <c r="H4" s="2154"/>
      <c r="I4" s="2154"/>
      <c r="J4" s="2154"/>
      <c r="K4" s="2154"/>
      <c r="L4" s="2154"/>
      <c r="M4" s="2154"/>
      <c r="N4" s="2154"/>
      <c r="O4" s="2154"/>
      <c r="P4" s="2154"/>
      <c r="Q4" s="2154"/>
      <c r="R4" s="2154"/>
      <c r="S4" s="2155"/>
      <c r="V4" s="393"/>
    </row>
    <row r="5" spans="1:22" ht="15.75" customHeight="1" thickBot="1" x14ac:dyDescent="0.3">
      <c r="A5" s="12"/>
      <c r="B5" s="392"/>
      <c r="C5" s="13"/>
      <c r="D5" s="392"/>
      <c r="E5" s="14"/>
      <c r="F5" s="14"/>
      <c r="G5" s="25"/>
      <c r="H5" s="25"/>
      <c r="I5" s="86"/>
      <c r="J5" s="86"/>
      <c r="O5" s="1702"/>
      <c r="P5" s="1702"/>
      <c r="Q5" s="1702"/>
      <c r="R5" s="1702"/>
      <c r="S5" s="393"/>
      <c r="T5" s="393"/>
      <c r="U5" s="393"/>
      <c r="V5" s="393"/>
    </row>
    <row r="6" spans="1:22" ht="39.75" customHeight="1" x14ac:dyDescent="0.25">
      <c r="A6" s="12"/>
      <c r="B6" s="1139"/>
      <c r="C6" s="369"/>
      <c r="D6" s="385"/>
      <c r="E6" s="1911">
        <f>'B.3.Comptes passés &amp; en cours'!K4+1</f>
        <v>2017</v>
      </c>
      <c r="F6" s="1912">
        <f>E6+1</f>
        <v>2018</v>
      </c>
      <c r="G6" s="1912">
        <f>F6+1</f>
        <v>2019</v>
      </c>
      <c r="H6" s="1913">
        <f>G6+1</f>
        <v>2020</v>
      </c>
      <c r="I6" s="1914">
        <f>H6+1</f>
        <v>2021</v>
      </c>
      <c r="J6" s="1773"/>
      <c r="L6" s="1741" t="str">
        <f>'B.3.Comptes passés &amp; en cours'!I22&amp;" / "&amp;'B.3.Comptes passés &amp; en cours'!J22</f>
        <v>2014 / 2015</v>
      </c>
      <c r="M6" s="1742" t="str">
        <f>'B.3.Comptes passés &amp; en cours'!J22&amp;" / "&amp;'B.3.Comptes passés &amp; en cours'!K22</f>
        <v>2015 / 2016</v>
      </c>
      <c r="N6" s="1743" t="str">
        <f>'B.3.Comptes passés &amp; en cours'!K22&amp;" / "&amp;'7.Budgets prévisionnels'!E6</f>
        <v>2016 / 2017</v>
      </c>
      <c r="O6" s="1151" t="str">
        <f>E6&amp;" / "&amp;F6</f>
        <v>2017 / 2018</v>
      </c>
      <c r="P6" s="1748" t="str">
        <f>F6&amp;" / "&amp;G6</f>
        <v>2018 / 2019</v>
      </c>
      <c r="Q6" s="1744" t="str">
        <f>G6&amp;" / "&amp;H6</f>
        <v>2019 / 2020</v>
      </c>
      <c r="R6" s="1152" t="str">
        <f>H6&amp;" / "&amp;I6</f>
        <v>2020 / 2021</v>
      </c>
      <c r="S6" s="1745"/>
      <c r="T6" s="393"/>
      <c r="U6" s="393"/>
      <c r="V6" s="393"/>
    </row>
    <row r="7" spans="1:22" ht="15.75" customHeight="1" x14ac:dyDescent="0.25">
      <c r="A7" s="12"/>
      <c r="B7" s="2009" t="s">
        <v>93</v>
      </c>
      <c r="C7" s="2010"/>
      <c r="D7" s="2010"/>
      <c r="E7" s="1737">
        <f>'8.Détails activités prév.'!F89-'8.Détails activités prév.'!F53-'8.Détails activités prév.'!F60-'8.Détails activités prév.'!F65-'8.Détails activités prév.'!F87</f>
        <v>0</v>
      </c>
      <c r="F7" s="1733">
        <f>'8.Détails activités prév.'!I89-'8.Détails activités prév.'!I53-'8.Détails activités prév.'!I60-'8.Détails activités prév.'!I65-'8.Détails activités prév.'!I70-'8.Détails activités prév.'!I87</f>
        <v>0</v>
      </c>
      <c r="G7" s="1733">
        <f>'8.Détails activités prév.'!L89-'8.Détails activités prév.'!L53-'8.Détails activités prév.'!L60-'8.Détails activités prév.'!L65-'8.Détails activités prév.'!L87</f>
        <v>0</v>
      </c>
      <c r="H7" s="1699">
        <f t="shared" ref="H7:H15" si="0">G7*(1+Q7)</f>
        <v>0</v>
      </c>
      <c r="I7" s="1758">
        <f t="shared" ref="I7:I15" si="1">H7*(1+R7)</f>
        <v>0</v>
      </c>
      <c r="J7" s="1774"/>
      <c r="L7" s="1839">
        <f>IF('B.3.Comptes passés &amp; en cours'!I24=0,'B.3.Comptes passés &amp; en cours'!J24%,('B.3.Comptes passés &amp; en cours'!J24-'B.3.Comptes passés &amp; en cours'!I24)/'B.3.Comptes passés &amp; en cours'!I24)</f>
        <v>0</v>
      </c>
      <c r="M7" s="1840">
        <f>IF('B.3.Comptes passés &amp; en cours'!J24=0,'B.3.Comptes passés &amp; en cours'!K24%,('B.3.Comptes passés &amp; en cours'!K24-'B.3.Comptes passés &amp; en cours'!J24)/'B.3.Comptes passés &amp; en cours'!J24)</f>
        <v>0</v>
      </c>
      <c r="N7" s="1841">
        <f>IF('B.3.Comptes passés &amp; en cours'!K24=0,'7.Budgets prévisionnels'!E7%,('7.Budgets prévisionnels'!E7-'B.3.Comptes passés &amp; en cours'!K24)/'B.3.Comptes passés &amp; en cours'!K24)</f>
        <v>0</v>
      </c>
      <c r="O7" s="1842">
        <f>IF(E7=0,F7%,(F7-E7)/E7)</f>
        <v>0</v>
      </c>
      <c r="P7" s="1843">
        <f>IF(F7=0,G7%,(G7-F7)/F7)</f>
        <v>0</v>
      </c>
      <c r="Q7" s="1844"/>
      <c r="R7" s="1845"/>
      <c r="S7" s="1746"/>
      <c r="T7" s="419"/>
    </row>
    <row r="8" spans="1:22" ht="15.75" customHeight="1" x14ac:dyDescent="0.25">
      <c r="A8" s="12"/>
      <c r="B8" s="2012" t="s">
        <v>90</v>
      </c>
      <c r="C8" s="2013"/>
      <c r="D8" s="2013"/>
      <c r="E8" s="1738">
        <f>'8.Détails activités prév.'!F53+'8.Détails activités prév.'!F60+'8.Détails activités prév.'!F65+'8.Détails activités prév.'!F70+'8.Détails activités prév.'!F87</f>
        <v>0</v>
      </c>
      <c r="F8" s="791">
        <f>'8.Détails activités prév.'!I53+'8.Détails activités prév.'!I60+'8.Détails activités prév.'!I65+'8.Détails activités prév.'!I70+'8.Détails activités prév.'!I87</f>
        <v>0</v>
      </c>
      <c r="G8" s="791">
        <f>'8.Détails activités prév.'!L53+'8.Détails activités prév.'!L60+'8.Détails activités prév.'!L65+'8.Détails activités prév.'!L70+'8.Détails activités prév.'!L87</f>
        <v>0</v>
      </c>
      <c r="H8" s="239">
        <f t="shared" si="0"/>
        <v>0</v>
      </c>
      <c r="I8" s="1759">
        <f t="shared" si="1"/>
        <v>0</v>
      </c>
      <c r="J8" s="1775"/>
      <c r="L8" s="1846">
        <f>IF('B.3.Comptes passés &amp; en cours'!I25=0,'B.3.Comptes passés &amp; en cours'!J25%,('B.3.Comptes passés &amp; en cours'!J25-'B.3.Comptes passés &amp; en cours'!I25)/'B.3.Comptes passés &amp; en cours'!I25)</f>
        <v>0</v>
      </c>
      <c r="M8" s="1847">
        <f>IF('B.3.Comptes passés &amp; en cours'!J25=0,'B.3.Comptes passés &amp; en cours'!K25%,('B.3.Comptes passés &amp; en cours'!K25-'B.3.Comptes passés &amp; en cours'!J25)/'B.3.Comptes passés &amp; en cours'!J25)</f>
        <v>0</v>
      </c>
      <c r="N8" s="1848">
        <f>IF('B.3.Comptes passés &amp; en cours'!K25=0,'7.Budgets prévisionnels'!E8%,('7.Budgets prévisionnels'!E8-'B.3.Comptes passés &amp; en cours'!K25)/'B.3.Comptes passés &amp; en cours'!K25)</f>
        <v>0</v>
      </c>
      <c r="O8" s="1849"/>
      <c r="P8" s="1850"/>
      <c r="Q8" s="1849"/>
      <c r="R8" s="1851"/>
      <c r="S8" s="1746"/>
    </row>
    <row r="9" spans="1:22" ht="15.75" customHeight="1" x14ac:dyDescent="0.25">
      <c r="A9" s="12"/>
      <c r="B9" s="2012" t="s">
        <v>91</v>
      </c>
      <c r="C9" s="2013"/>
      <c r="D9" s="2013"/>
      <c r="E9" s="1738">
        <f>'B.3.Comptes passés &amp; en cours'!G52</f>
        <v>0</v>
      </c>
      <c r="F9" s="1734">
        <f t="shared" ref="F9:G15" si="2">E9*(1+O9)</f>
        <v>0</v>
      </c>
      <c r="G9" s="1734">
        <f t="shared" si="2"/>
        <v>0</v>
      </c>
      <c r="H9" s="239">
        <f t="shared" si="0"/>
        <v>0</v>
      </c>
      <c r="I9" s="1759">
        <f t="shared" si="1"/>
        <v>0</v>
      </c>
      <c r="J9" s="1775"/>
      <c r="K9" s="188"/>
      <c r="L9" s="1852">
        <f>IF('B.3.Comptes passés &amp; en cours'!I26=0,'B.3.Comptes passés &amp; en cours'!J26%,('B.3.Comptes passés &amp; en cours'!J26-'B.3.Comptes passés &amp; en cours'!I26)/'B.3.Comptes passés &amp; en cours'!I26)</f>
        <v>0</v>
      </c>
      <c r="M9" s="1847">
        <f>IF('B.3.Comptes passés &amp; en cours'!J26=0,'B.3.Comptes passés &amp; en cours'!K26%,('B.3.Comptes passés &amp; en cours'!K26-'B.3.Comptes passés &amp; en cours'!J26)/'B.3.Comptes passés &amp; en cours'!J26)</f>
        <v>0</v>
      </c>
      <c r="N9" s="1848">
        <f>IF('B.3.Comptes passés &amp; en cours'!K26=0,'7.Budgets prévisionnels'!E9%,('7.Budgets prévisionnels'!E9-'B.3.Comptes passés &amp; en cours'!K26)/'B.3.Comptes passés &amp; en cours'!K26)</f>
        <v>0</v>
      </c>
      <c r="O9" s="1849"/>
      <c r="P9" s="1850"/>
      <c r="Q9" s="1849"/>
      <c r="R9" s="1851"/>
      <c r="S9" s="1746"/>
    </row>
    <row r="10" spans="1:22" ht="15.75" customHeight="1" x14ac:dyDescent="0.25">
      <c r="A10" s="12"/>
      <c r="B10" s="2012" t="s">
        <v>270</v>
      </c>
      <c r="C10" s="2013"/>
      <c r="D10" s="2013"/>
      <c r="E10" s="1738">
        <f>'B.3.Comptes passés &amp; en cours'!G53</f>
        <v>0</v>
      </c>
      <c r="F10" s="1734">
        <f t="shared" si="2"/>
        <v>0</v>
      </c>
      <c r="G10" s="1734">
        <f t="shared" si="2"/>
        <v>0</v>
      </c>
      <c r="H10" s="239">
        <f t="shared" si="0"/>
        <v>0</v>
      </c>
      <c r="I10" s="1759">
        <f t="shared" si="1"/>
        <v>0</v>
      </c>
      <c r="J10" s="1775"/>
      <c r="K10" s="188"/>
      <c r="L10" s="1852">
        <f>IF('B.3.Comptes passés &amp; en cours'!I27=0,'B.3.Comptes passés &amp; en cours'!J27%,('B.3.Comptes passés &amp; en cours'!J27-'B.3.Comptes passés &amp; en cours'!I27)/'B.3.Comptes passés &amp; en cours'!I27)</f>
        <v>0</v>
      </c>
      <c r="M10" s="1847">
        <f>IF('B.3.Comptes passés &amp; en cours'!J27=0,'B.3.Comptes passés &amp; en cours'!K27%,('B.3.Comptes passés &amp; en cours'!K27-'B.3.Comptes passés &amp; en cours'!J27)/'B.3.Comptes passés &amp; en cours'!J27)</f>
        <v>0</v>
      </c>
      <c r="N10" s="1848">
        <f>IF('B.3.Comptes passés &amp; en cours'!K27=0,'7.Budgets prévisionnels'!E10%,('7.Budgets prévisionnels'!E10-'B.3.Comptes passés &amp; en cours'!K27)/'B.3.Comptes passés &amp; en cours'!K27)</f>
        <v>0</v>
      </c>
      <c r="O10" s="1849"/>
      <c r="P10" s="1850"/>
      <c r="Q10" s="1849"/>
      <c r="R10" s="1851"/>
      <c r="S10" s="1746"/>
    </row>
    <row r="11" spans="1:22" ht="15.75" customHeight="1" x14ac:dyDescent="0.25">
      <c r="A11" s="12"/>
      <c r="B11" s="2057" t="s">
        <v>85</v>
      </c>
      <c r="C11" s="2058"/>
      <c r="D11" s="2058"/>
      <c r="E11" s="1739">
        <f>'B.3.Comptes passés &amp; en cours'!G54</f>
        <v>0</v>
      </c>
      <c r="F11" s="1735">
        <f t="shared" si="2"/>
        <v>0</v>
      </c>
      <c r="G11" s="1735">
        <f t="shared" si="2"/>
        <v>0</v>
      </c>
      <c r="H11" s="442">
        <f t="shared" si="0"/>
        <v>0</v>
      </c>
      <c r="I11" s="1760">
        <f t="shared" si="1"/>
        <v>0</v>
      </c>
      <c r="J11" s="1776"/>
      <c r="K11" s="188"/>
      <c r="L11" s="1853">
        <f>IF('B.3.Comptes passés &amp; en cours'!I28=0,'B.3.Comptes passés &amp; en cours'!J28%,('B.3.Comptes passés &amp; en cours'!J28-'B.3.Comptes passés &amp; en cours'!I28)/'B.3.Comptes passés &amp; en cours'!I28)</f>
        <v>0</v>
      </c>
      <c r="M11" s="1854">
        <f>IF('B.3.Comptes passés &amp; en cours'!J28=0,'B.3.Comptes passés &amp; en cours'!K28%,('B.3.Comptes passés &amp; en cours'!K28-'B.3.Comptes passés &amp; en cours'!J28)/'B.3.Comptes passés &amp; en cours'!J28)</f>
        <v>0</v>
      </c>
      <c r="N11" s="1855">
        <f>IF('B.3.Comptes passés &amp; en cours'!K28=0,'7.Budgets prévisionnels'!E11%,('7.Budgets prévisionnels'!E11-'B.3.Comptes passés &amp; en cours'!K28)/'B.3.Comptes passés &amp; en cours'!K28)</f>
        <v>0</v>
      </c>
      <c r="O11" s="1856"/>
      <c r="P11" s="1857"/>
      <c r="Q11" s="1856"/>
      <c r="R11" s="1858"/>
      <c r="S11" s="1746"/>
    </row>
    <row r="12" spans="1:22" ht="15.75" customHeight="1" x14ac:dyDescent="0.25">
      <c r="A12" s="12"/>
      <c r="B12" s="2057" t="s">
        <v>86</v>
      </c>
      <c r="C12" s="2058"/>
      <c r="D12" s="2058"/>
      <c r="E12" s="1739">
        <f>'B.3.Comptes passés &amp; en cours'!G55</f>
        <v>0</v>
      </c>
      <c r="F12" s="1735">
        <f t="shared" si="2"/>
        <v>0</v>
      </c>
      <c r="G12" s="1735">
        <f t="shared" si="2"/>
        <v>0</v>
      </c>
      <c r="H12" s="442">
        <f t="shared" si="0"/>
        <v>0</v>
      </c>
      <c r="I12" s="1760">
        <f t="shared" si="1"/>
        <v>0</v>
      </c>
      <c r="J12" s="1776"/>
      <c r="K12" s="188"/>
      <c r="L12" s="1853">
        <f>IF('B.3.Comptes passés &amp; en cours'!I29=0,'B.3.Comptes passés &amp; en cours'!J29%,('B.3.Comptes passés &amp; en cours'!J29-'B.3.Comptes passés &amp; en cours'!I29)/'B.3.Comptes passés &amp; en cours'!I29)</f>
        <v>0</v>
      </c>
      <c r="M12" s="1854">
        <f>IF('B.3.Comptes passés &amp; en cours'!J29=0,'B.3.Comptes passés &amp; en cours'!K29%,('B.3.Comptes passés &amp; en cours'!K29-'B.3.Comptes passés &amp; en cours'!J29)/'B.3.Comptes passés &amp; en cours'!J29)</f>
        <v>0</v>
      </c>
      <c r="N12" s="1855">
        <f>IF('B.3.Comptes passés &amp; en cours'!K29=0,'7.Budgets prévisionnels'!E12%,('7.Budgets prévisionnels'!E12-'B.3.Comptes passés &amp; en cours'!K29)/'B.3.Comptes passés &amp; en cours'!K29)</f>
        <v>0</v>
      </c>
      <c r="O12" s="1856"/>
      <c r="P12" s="1857"/>
      <c r="Q12" s="1856"/>
      <c r="R12" s="1858"/>
      <c r="S12" s="1746"/>
    </row>
    <row r="13" spans="1:22" ht="15.75" customHeight="1" x14ac:dyDescent="0.25">
      <c r="A13" s="12"/>
      <c r="B13" s="2057" t="s">
        <v>437</v>
      </c>
      <c r="C13" s="2058"/>
      <c r="D13" s="2058"/>
      <c r="E13" s="1739">
        <f>'B.3.Comptes passés &amp; en cours'!G56</f>
        <v>0</v>
      </c>
      <c r="F13" s="1735">
        <f t="shared" si="2"/>
        <v>0</v>
      </c>
      <c r="G13" s="1735">
        <f t="shared" si="2"/>
        <v>0</v>
      </c>
      <c r="H13" s="442">
        <f t="shared" si="0"/>
        <v>0</v>
      </c>
      <c r="I13" s="1760">
        <f t="shared" si="1"/>
        <v>0</v>
      </c>
      <c r="J13" s="1776"/>
      <c r="K13" s="188"/>
      <c r="L13" s="1853">
        <f>IF('B.3.Comptes passés &amp; en cours'!I30=0,'B.3.Comptes passés &amp; en cours'!J30%,('B.3.Comptes passés &amp; en cours'!J30-'B.3.Comptes passés &amp; en cours'!I30)/'B.3.Comptes passés &amp; en cours'!I30)</f>
        <v>0</v>
      </c>
      <c r="M13" s="1854">
        <f>IF('B.3.Comptes passés &amp; en cours'!J30=0,'B.3.Comptes passés &amp; en cours'!K30%,('B.3.Comptes passés &amp; en cours'!K30-'B.3.Comptes passés &amp; en cours'!J30)/'B.3.Comptes passés &amp; en cours'!J30)</f>
        <v>0</v>
      </c>
      <c r="N13" s="1855">
        <f>IF('B.3.Comptes passés &amp; en cours'!K30=0,'7.Budgets prévisionnels'!E13%,('7.Budgets prévisionnels'!E13-'B.3.Comptes passés &amp; en cours'!K30)/'B.3.Comptes passés &amp; en cours'!K30)</f>
        <v>0</v>
      </c>
      <c r="O13" s="1856"/>
      <c r="P13" s="1857"/>
      <c r="Q13" s="1856"/>
      <c r="R13" s="1858"/>
      <c r="S13" s="1746"/>
    </row>
    <row r="14" spans="1:22" ht="15.75" customHeight="1" x14ac:dyDescent="0.25">
      <c r="A14" s="12"/>
      <c r="B14" s="2156" t="s">
        <v>271</v>
      </c>
      <c r="C14" s="1998"/>
      <c r="D14" s="1998"/>
      <c r="E14" s="1738">
        <f>'B.3.Comptes passés &amp; en cours'!G57</f>
        <v>0</v>
      </c>
      <c r="F14" s="1734">
        <f t="shared" si="2"/>
        <v>0</v>
      </c>
      <c r="G14" s="1734">
        <f t="shared" si="2"/>
        <v>0</v>
      </c>
      <c r="H14" s="239">
        <f t="shared" si="0"/>
        <v>0</v>
      </c>
      <c r="I14" s="1759">
        <f t="shared" si="1"/>
        <v>0</v>
      </c>
      <c r="J14" s="1775"/>
      <c r="K14" s="188"/>
      <c r="L14" s="1852">
        <f>IF('B.3.Comptes passés &amp; en cours'!I31=0,'B.3.Comptes passés &amp; en cours'!J31%,('B.3.Comptes passés &amp; en cours'!J31-'B.3.Comptes passés &amp; en cours'!I31)/'B.3.Comptes passés &amp; en cours'!I31)</f>
        <v>0</v>
      </c>
      <c r="M14" s="1847">
        <f>IF('B.3.Comptes passés &amp; en cours'!J31=0,'B.3.Comptes passés &amp; en cours'!K31%,('B.3.Comptes passés &amp; en cours'!K31-'B.3.Comptes passés &amp; en cours'!J31)/'B.3.Comptes passés &amp; en cours'!J31)</f>
        <v>0</v>
      </c>
      <c r="N14" s="1848">
        <f>IF('B.3.Comptes passés &amp; en cours'!K31=0,'7.Budgets prévisionnels'!E14%,('7.Budgets prévisionnels'!E14-'B.3.Comptes passés &amp; en cours'!K31)/'B.3.Comptes passés &amp; en cours'!K31)</f>
        <v>0</v>
      </c>
      <c r="O14" s="1859"/>
      <c r="P14" s="1850"/>
      <c r="Q14" s="1849"/>
      <c r="R14" s="1851"/>
      <c r="S14" s="1746"/>
    </row>
    <row r="15" spans="1:22" ht="15.75" customHeight="1" x14ac:dyDescent="0.25">
      <c r="A15" s="12"/>
      <c r="B15" s="2000" t="s">
        <v>272</v>
      </c>
      <c r="C15" s="2001"/>
      <c r="D15" s="2001"/>
      <c r="E15" s="1740">
        <f>'B.3.Comptes passés &amp; en cours'!G58</f>
        <v>0</v>
      </c>
      <c r="F15" s="1736">
        <f t="shared" si="2"/>
        <v>0</v>
      </c>
      <c r="G15" s="1736">
        <f t="shared" si="2"/>
        <v>0</v>
      </c>
      <c r="H15" s="239">
        <f t="shared" si="0"/>
        <v>0</v>
      </c>
      <c r="I15" s="1759">
        <f t="shared" si="1"/>
        <v>0</v>
      </c>
      <c r="J15" s="1775"/>
      <c r="K15" s="188"/>
      <c r="L15" s="1852">
        <f>IF('B.3.Comptes passés &amp; en cours'!I32=0,'B.3.Comptes passés &amp; en cours'!J32%,('B.3.Comptes passés &amp; en cours'!J32-'B.3.Comptes passés &amp; en cours'!I32)/'B.3.Comptes passés &amp; en cours'!I32)</f>
        <v>0</v>
      </c>
      <c r="M15" s="1847">
        <f>IF('B.3.Comptes passés &amp; en cours'!J32=0,'B.3.Comptes passés &amp; en cours'!K32%,('B.3.Comptes passés &amp; en cours'!K32-'B.3.Comptes passés &amp; en cours'!J32)/'B.3.Comptes passés &amp; en cours'!J32)</f>
        <v>0</v>
      </c>
      <c r="N15" s="1848">
        <f>IF('B.3.Comptes passés &amp; en cours'!K32=0,'7.Budgets prévisionnels'!E15%,('7.Budgets prévisionnels'!E15-'B.3.Comptes passés &amp; en cours'!K32)/'B.3.Comptes passés &amp; en cours'!K32)</f>
        <v>0</v>
      </c>
      <c r="O15" s="1849"/>
      <c r="P15" s="1860"/>
      <c r="Q15" s="1849"/>
      <c r="R15" s="1851"/>
      <c r="S15" s="1746"/>
    </row>
    <row r="16" spans="1:22" s="15" customFormat="1" ht="15.75" customHeight="1" x14ac:dyDescent="0.25">
      <c r="A16" s="39"/>
      <c r="B16" s="2136" t="s">
        <v>88</v>
      </c>
      <c r="C16" s="2137"/>
      <c r="D16" s="2138"/>
      <c r="E16" s="1700">
        <f>SUM(E7:E10)+SUM(E14:E15)</f>
        <v>0</v>
      </c>
      <c r="F16" s="1701">
        <f>SUM(F7:F10)+SUM(F14:F15)</f>
        <v>0</v>
      </c>
      <c r="G16" s="1749">
        <f t="shared" ref="G16:I16" si="3">SUM(G7:G10)+SUM(G14:G15)</f>
        <v>0</v>
      </c>
      <c r="H16" s="1731">
        <f t="shared" si="3"/>
        <v>0</v>
      </c>
      <c r="I16" s="1761">
        <f t="shared" si="3"/>
        <v>0</v>
      </c>
      <c r="J16" s="1777"/>
      <c r="K16" s="1703"/>
      <c r="L16" s="1861">
        <f>IF('B.3.Comptes passés &amp; en cours'!I33=0,'B.3.Comptes passés &amp; en cours'!J33%,('B.3.Comptes passés &amp; en cours'!J33-'B.3.Comptes passés &amp; en cours'!I33)/'B.3.Comptes passés &amp; en cours'!I33)</f>
        <v>0</v>
      </c>
      <c r="M16" s="1862">
        <f>IF('B.3.Comptes passés &amp; en cours'!J33=0,'B.3.Comptes passés &amp; en cours'!K33%,('B.3.Comptes passés &amp; en cours'!K33-'B.3.Comptes passés &amp; en cours'!J33)/'B.3.Comptes passés &amp; en cours'!J33)</f>
        <v>0</v>
      </c>
      <c r="N16" s="1863">
        <f>IF('B.3.Comptes passés &amp; en cours'!K33=0,'7.Budgets prévisionnels'!E16%,('7.Budgets prévisionnels'!E16-'B.3.Comptes passés &amp; en cours'!K33)/'B.3.Comptes passés &amp; en cours'!K33)</f>
        <v>0</v>
      </c>
      <c r="O16" s="1864">
        <f>IF(E16=0,F16%,(F16-E16)/E16)</f>
        <v>0</v>
      </c>
      <c r="P16" s="1865">
        <f>IF(F16=0,G16%,(G16-F16)/F16)</f>
        <v>0</v>
      </c>
      <c r="Q16" s="1866">
        <f>IF(G16=0,H16%,(H16-G16)/G16)</f>
        <v>0</v>
      </c>
      <c r="R16" s="1867">
        <f>IF(H16=0,I16%,(I16-H16)/H16)</f>
        <v>0</v>
      </c>
      <c r="S16" s="1747"/>
    </row>
    <row r="17" spans="1:20" s="15" customFormat="1" ht="15.75" customHeight="1" x14ac:dyDescent="0.25">
      <c r="A17" s="39"/>
      <c r="B17" s="465" t="s">
        <v>258</v>
      </c>
      <c r="C17" s="466"/>
      <c r="D17" s="466"/>
      <c r="E17" s="451">
        <f>'B.3.Comptes passés &amp; en cours'!G60</f>
        <v>0</v>
      </c>
      <c r="F17" s="467">
        <f t="shared" ref="F17:I18" si="4">E17*(1+O17)</f>
        <v>0</v>
      </c>
      <c r="G17" s="1750">
        <f t="shared" si="4"/>
        <v>0</v>
      </c>
      <c r="H17" s="467">
        <f t="shared" si="4"/>
        <v>0</v>
      </c>
      <c r="I17" s="1762">
        <f t="shared" si="4"/>
        <v>0</v>
      </c>
      <c r="J17" s="1778"/>
      <c r="K17" s="1703"/>
      <c r="L17" s="1868">
        <f>IF('B.3.Comptes passés &amp; en cours'!I34=0,'B.3.Comptes passés &amp; en cours'!J34%,('B.3.Comptes passés &amp; en cours'!J34-'B.3.Comptes passés &amp; en cours'!I34)/'B.3.Comptes passés &amp; en cours'!I34)</f>
        <v>0</v>
      </c>
      <c r="M17" s="1869">
        <f>IF('B.3.Comptes passés &amp; en cours'!J34=0,'B.3.Comptes passés &amp; en cours'!K34%,('B.3.Comptes passés &amp; en cours'!K34-'B.3.Comptes passés &amp; en cours'!J34)/'B.3.Comptes passés &amp; en cours'!J34)</f>
        <v>0</v>
      </c>
      <c r="N17" s="1870">
        <f>IF('B.3.Comptes passés &amp; en cours'!K34=0,'7.Budgets prévisionnels'!E17%,('7.Budgets prévisionnels'!E17-'B.3.Comptes passés &amp; en cours'!K34)/'B.3.Comptes passés &amp; en cours'!K34)</f>
        <v>0</v>
      </c>
      <c r="O17" s="1849"/>
      <c r="P17" s="1871"/>
      <c r="Q17" s="1871"/>
      <c r="R17" s="1851"/>
      <c r="S17" s="1747"/>
    </row>
    <row r="18" spans="1:20" s="15" customFormat="1" ht="15.75" customHeight="1" x14ac:dyDescent="0.25">
      <c r="A18" s="39"/>
      <c r="B18" s="469" t="s">
        <v>256</v>
      </c>
      <c r="C18" s="82"/>
      <c r="D18" s="82"/>
      <c r="E18" s="452">
        <f>'B.3.Comptes passés &amp; en cours'!G61</f>
        <v>0</v>
      </c>
      <c r="F18" s="450">
        <f t="shared" si="4"/>
        <v>0</v>
      </c>
      <c r="G18" s="1145">
        <f t="shared" si="4"/>
        <v>0</v>
      </c>
      <c r="H18" s="450">
        <f t="shared" si="4"/>
        <v>0</v>
      </c>
      <c r="I18" s="1763">
        <f t="shared" si="4"/>
        <v>0</v>
      </c>
      <c r="J18" s="1778"/>
      <c r="K18" s="1703"/>
      <c r="L18" s="1868">
        <f>IF('B.3.Comptes passés &amp; en cours'!I35=0,'B.3.Comptes passés &amp; en cours'!J35%,('B.3.Comptes passés &amp; en cours'!J35-'B.3.Comptes passés &amp; en cours'!I35)/'B.3.Comptes passés &amp; en cours'!I35)</f>
        <v>0</v>
      </c>
      <c r="M18" s="1869">
        <f>IF('B.3.Comptes passés &amp; en cours'!J35=0,'B.3.Comptes passés &amp; en cours'!K35%,('B.3.Comptes passés &amp; en cours'!K35-'B.3.Comptes passés &amp; en cours'!J35)/'B.3.Comptes passés &amp; en cours'!J35)</f>
        <v>0</v>
      </c>
      <c r="N18" s="1870">
        <f>IF('B.3.Comptes passés &amp; en cours'!K35=0,'7.Budgets prévisionnels'!E18%,('7.Budgets prévisionnels'!E18-'B.3.Comptes passés &amp; en cours'!K35)/'B.3.Comptes passés &amp; en cours'!K35)</f>
        <v>0</v>
      </c>
      <c r="O18" s="1849"/>
      <c r="P18" s="1871"/>
      <c r="Q18" s="1871"/>
      <c r="R18" s="1851"/>
      <c r="S18" s="1747"/>
      <c r="T18" s="477"/>
    </row>
    <row r="19" spans="1:20" s="15" customFormat="1" ht="15.75" customHeight="1" x14ac:dyDescent="0.25">
      <c r="A19" s="39"/>
      <c r="B19" s="475" t="s">
        <v>305</v>
      </c>
      <c r="C19" s="413"/>
      <c r="D19" s="413"/>
      <c r="E19" s="476">
        <f>'B.3.Comptes passés &amp; en cours'!G62</f>
        <v>0</v>
      </c>
      <c r="F19" s="478"/>
      <c r="G19" s="1751"/>
      <c r="H19" s="1122"/>
      <c r="I19" s="1764"/>
      <c r="J19" s="1774"/>
      <c r="K19" s="1703"/>
      <c r="L19" s="1872"/>
      <c r="M19" s="1873"/>
      <c r="N19" s="1874"/>
      <c r="O19" s="1875"/>
      <c r="P19" s="1876"/>
      <c r="Q19" s="1876"/>
      <c r="R19" s="1877"/>
      <c r="S19" s="1747"/>
    </row>
    <row r="20" spans="1:20" s="15" customFormat="1" ht="15.75" customHeight="1" x14ac:dyDescent="0.25">
      <c r="A20" s="39"/>
      <c r="B20" s="470" t="s">
        <v>89</v>
      </c>
      <c r="C20" s="471"/>
      <c r="D20" s="471"/>
      <c r="E20" s="459">
        <f>'B.3.Comptes passés &amp; en cours'!G63</f>
        <v>0</v>
      </c>
      <c r="F20" s="460">
        <f>E20*(1+O20)</f>
        <v>0</v>
      </c>
      <c r="G20" s="1752">
        <f>F20*(1+P20)</f>
        <v>0</v>
      </c>
      <c r="H20" s="457">
        <f>G20*(1+Q20)</f>
        <v>0</v>
      </c>
      <c r="I20" s="1765">
        <f>H20*(1+R20)</f>
        <v>0</v>
      </c>
      <c r="J20" s="1778"/>
      <c r="K20" s="1703"/>
      <c r="L20" s="1878">
        <f>IF('B.3.Comptes passés &amp; en cours'!I36=0,'B.3.Comptes passés &amp; en cours'!J36%,('B.3.Comptes passés &amp; en cours'!J36-'B.3.Comptes passés &amp; en cours'!I36)/'B.3.Comptes passés &amp; en cours'!I36)</f>
        <v>0</v>
      </c>
      <c r="M20" s="1879">
        <f>IF('B.3.Comptes passés &amp; en cours'!J36=0,'B.3.Comptes passés &amp; en cours'!K36%,('B.3.Comptes passés &amp; en cours'!K36-'B.3.Comptes passés &amp; en cours'!J36)/'B.3.Comptes passés &amp; en cours'!J36)</f>
        <v>0</v>
      </c>
      <c r="N20" s="1880">
        <f>IF('B.3.Comptes passés &amp; en cours'!K37=0,'7.Budgets prévisionnels'!E20%,('7.Budgets prévisionnels'!E20-'B.3.Comptes passés &amp; en cours'!K37)/'B.3.Comptes passés &amp; en cours'!K37)</f>
        <v>0</v>
      </c>
      <c r="O20" s="1881"/>
      <c r="P20" s="1882"/>
      <c r="Q20" s="1882"/>
      <c r="R20" s="1883"/>
      <c r="S20" s="1747"/>
    </row>
    <row r="21" spans="1:20" s="15" customFormat="1" ht="15.75" customHeight="1" x14ac:dyDescent="0.25">
      <c r="A21" s="39"/>
      <c r="B21" s="2136" t="s">
        <v>446</v>
      </c>
      <c r="C21" s="2137"/>
      <c r="D21" s="2138"/>
      <c r="E21" s="1144">
        <f>E16+E17+E18+E20</f>
        <v>0</v>
      </c>
      <c r="F21" s="1730">
        <f t="shared" ref="F21:I21" si="5">F16+F17+F18+F20</f>
        <v>0</v>
      </c>
      <c r="G21" s="1730">
        <f t="shared" si="5"/>
        <v>0</v>
      </c>
      <c r="H21" s="1730">
        <f t="shared" si="5"/>
        <v>0</v>
      </c>
      <c r="I21" s="1766">
        <f t="shared" si="5"/>
        <v>0</v>
      </c>
      <c r="J21" s="1774"/>
      <c r="K21" s="1703"/>
      <c r="L21" s="1868"/>
      <c r="M21" s="1868"/>
      <c r="N21" s="1884"/>
      <c r="O21" s="1849"/>
      <c r="P21" s="1871"/>
      <c r="Q21" s="1871"/>
      <c r="R21" s="1851"/>
      <c r="S21" s="1747"/>
    </row>
    <row r="22" spans="1:20" ht="15.75" customHeight="1" x14ac:dyDescent="0.25">
      <c r="A22" s="12"/>
      <c r="B22" s="364" t="s">
        <v>283</v>
      </c>
      <c r="C22" s="412"/>
      <c r="D22" s="9"/>
      <c r="E22" s="452">
        <f>'B.3.Comptes passés &amp; en cours'!G65</f>
        <v>0</v>
      </c>
      <c r="F22" s="1145">
        <f t="shared" ref="F22:I29" si="6">E22*(1+O22)</f>
        <v>0</v>
      </c>
      <c r="G22" s="1145">
        <f t="shared" si="6"/>
        <v>0</v>
      </c>
      <c r="H22" s="450">
        <f t="shared" si="6"/>
        <v>0</v>
      </c>
      <c r="I22" s="1763">
        <f t="shared" si="6"/>
        <v>0</v>
      </c>
      <c r="J22" s="1778"/>
      <c r="K22" s="188"/>
      <c r="L22" s="1885">
        <f>IF('B.3.Comptes passés &amp; en cours'!C24=0,'B.3.Comptes passés &amp; en cours'!D24%,('B.3.Comptes passés &amp; en cours'!D24-'B.3.Comptes passés &amp; en cours'!C24)/'B.3.Comptes passés &amp; en cours'!C24)</f>
        <v>0</v>
      </c>
      <c r="M22" s="1886">
        <f>IF('B.3.Comptes passés &amp; en cours'!D24=0,'B.3.Comptes passés &amp; en cours'!E24%,('B.3.Comptes passés &amp; en cours'!E24-'B.3.Comptes passés &amp; en cours'!D24)/'B.3.Comptes passés &amp; en cours'!D24)</f>
        <v>0</v>
      </c>
      <c r="N22" s="1887">
        <f>IF('B.3.Comptes passés &amp; en cours'!E24=0,E22%,(E22-'B.3.Comptes passés &amp; en cours'!E24)/'B.3.Comptes passés &amp; en cours'!E24)</f>
        <v>0</v>
      </c>
      <c r="O22" s="1849"/>
      <c r="P22" s="1871"/>
      <c r="Q22" s="1871"/>
      <c r="R22" s="1851"/>
      <c r="S22" s="1746"/>
    </row>
    <row r="23" spans="1:20" ht="15.75" customHeight="1" x14ac:dyDescent="0.25">
      <c r="A23" s="12"/>
      <c r="B23" s="364" t="s">
        <v>273</v>
      </c>
      <c r="C23" s="9"/>
      <c r="D23" s="9"/>
      <c r="E23" s="452">
        <f>'B.3.Comptes passés &amp; en cours'!G66</f>
        <v>0</v>
      </c>
      <c r="F23" s="450">
        <f t="shared" si="6"/>
        <v>0</v>
      </c>
      <c r="G23" s="1145">
        <f t="shared" si="6"/>
        <v>0</v>
      </c>
      <c r="H23" s="450">
        <f t="shared" si="6"/>
        <v>0</v>
      </c>
      <c r="I23" s="1763">
        <f t="shared" si="6"/>
        <v>0</v>
      </c>
      <c r="J23" s="1778"/>
      <c r="K23" s="188"/>
      <c r="L23" s="1868">
        <f>IF('B.3.Comptes passés &amp; en cours'!C25=0,'B.3.Comptes passés &amp; en cours'!D25%,('B.3.Comptes passés &amp; en cours'!D25-'B.3.Comptes passés &amp; en cours'!C25)/'B.3.Comptes passés &amp; en cours'!C25)</f>
        <v>0</v>
      </c>
      <c r="M23" s="1869">
        <f>IF('B.3.Comptes passés &amp; en cours'!D25=0,'B.3.Comptes passés &amp; en cours'!E25%,('B.3.Comptes passés &amp; en cours'!E25-'B.3.Comptes passés &amp; en cours'!D25)/'B.3.Comptes passés &amp; en cours'!D25)</f>
        <v>0</v>
      </c>
      <c r="N23" s="1870">
        <f>IF('B.3.Comptes passés &amp; en cours'!E25=0,E23%,(E23-'B.3.Comptes passés &amp; en cours'!E25)/'B.3.Comptes passés &amp; en cours'!E25)</f>
        <v>0</v>
      </c>
      <c r="O23" s="1849"/>
      <c r="P23" s="1871"/>
      <c r="Q23" s="1871"/>
      <c r="R23" s="1851"/>
      <c r="S23" s="1746"/>
    </row>
    <row r="24" spans="1:20" ht="15.75" customHeight="1" x14ac:dyDescent="0.25">
      <c r="A24" s="12"/>
      <c r="B24" s="364" t="s">
        <v>274</v>
      </c>
      <c r="C24" s="9"/>
      <c r="D24" s="9"/>
      <c r="E24" s="452">
        <f>'B.3.Comptes passés &amp; en cours'!G67</f>
        <v>0</v>
      </c>
      <c r="F24" s="450">
        <f t="shared" si="6"/>
        <v>0</v>
      </c>
      <c r="G24" s="1145">
        <f t="shared" si="6"/>
        <v>0</v>
      </c>
      <c r="H24" s="450">
        <f t="shared" si="6"/>
        <v>0</v>
      </c>
      <c r="I24" s="1763">
        <f t="shared" si="6"/>
        <v>0</v>
      </c>
      <c r="J24" s="1778"/>
      <c r="K24" s="188"/>
      <c r="L24" s="1868">
        <f>IF('B.3.Comptes passés &amp; en cours'!C26=0,'B.3.Comptes passés &amp; en cours'!D26%,('B.3.Comptes passés &amp; en cours'!D26-'B.3.Comptes passés &amp; en cours'!C26)/'B.3.Comptes passés &amp; en cours'!C26)</f>
        <v>0</v>
      </c>
      <c r="M24" s="1869">
        <f>IF('B.3.Comptes passés &amp; en cours'!D26=0,'B.3.Comptes passés &amp; en cours'!E26%,('B.3.Comptes passés &amp; en cours'!E26-'B.3.Comptes passés &amp; en cours'!D26)/'B.3.Comptes passés &amp; en cours'!D26)</f>
        <v>0</v>
      </c>
      <c r="N24" s="1870">
        <f>IF('B.3.Comptes passés &amp; en cours'!E26=0,E24%,(E24-'B.3.Comptes passés &amp; en cours'!E26)/'B.3.Comptes passés &amp; en cours'!E26)</f>
        <v>0</v>
      </c>
      <c r="O24" s="1849"/>
      <c r="P24" s="1871"/>
      <c r="Q24" s="1871"/>
      <c r="R24" s="1851"/>
      <c r="S24" s="1746"/>
    </row>
    <row r="25" spans="1:20" ht="15.75" customHeight="1" x14ac:dyDescent="0.25">
      <c r="A25" s="12"/>
      <c r="B25" s="364" t="s">
        <v>275</v>
      </c>
      <c r="C25" s="9"/>
      <c r="D25" s="9"/>
      <c r="E25" s="452">
        <f>'B.3.Comptes passés &amp; en cours'!G68</f>
        <v>0</v>
      </c>
      <c r="F25" s="450">
        <f t="shared" si="6"/>
        <v>0</v>
      </c>
      <c r="G25" s="1145">
        <f t="shared" si="6"/>
        <v>0</v>
      </c>
      <c r="H25" s="450">
        <f t="shared" si="6"/>
        <v>0</v>
      </c>
      <c r="I25" s="1763">
        <f t="shared" si="6"/>
        <v>0</v>
      </c>
      <c r="J25" s="1778"/>
      <c r="K25" s="188"/>
      <c r="L25" s="1868">
        <f>IF('B.3.Comptes passés &amp; en cours'!C27=0,'B.3.Comptes passés &amp; en cours'!D27%,('B.3.Comptes passés &amp; en cours'!D27-'B.3.Comptes passés &amp; en cours'!C27)/'B.3.Comptes passés &amp; en cours'!C27)</f>
        <v>0</v>
      </c>
      <c r="M25" s="1869">
        <f>IF('B.3.Comptes passés &amp; en cours'!D27=0,'B.3.Comptes passés &amp; en cours'!E27%,('B.3.Comptes passés &amp; en cours'!E27-'B.3.Comptes passés &amp; en cours'!D27)/'B.3.Comptes passés &amp; en cours'!D27)</f>
        <v>0</v>
      </c>
      <c r="N25" s="1870">
        <f>IF('B.3.Comptes passés &amp; en cours'!E27=0,E25%,(E25-'B.3.Comptes passés &amp; en cours'!E27)/'B.3.Comptes passés &amp; en cours'!E27)</f>
        <v>0</v>
      </c>
      <c r="O25" s="1849"/>
      <c r="P25" s="1871"/>
      <c r="Q25" s="1871"/>
      <c r="R25" s="1851"/>
      <c r="S25" s="1746"/>
    </row>
    <row r="26" spans="1:20" ht="15.75" customHeight="1" x14ac:dyDescent="0.25">
      <c r="A26" s="12"/>
      <c r="B26" s="370" t="s">
        <v>98</v>
      </c>
      <c r="C26" s="388"/>
      <c r="D26" s="388"/>
      <c r="E26" s="474">
        <f>'B.3.Comptes passés &amp; en cours'!G69</f>
        <v>0</v>
      </c>
      <c r="F26" s="442">
        <f t="shared" si="6"/>
        <v>0</v>
      </c>
      <c r="G26" s="1735">
        <f t="shared" si="6"/>
        <v>0</v>
      </c>
      <c r="H26" s="442">
        <f t="shared" si="6"/>
        <v>0</v>
      </c>
      <c r="I26" s="1760">
        <f t="shared" si="6"/>
        <v>0</v>
      </c>
      <c r="J26" s="1776"/>
      <c r="K26" s="188"/>
      <c r="L26" s="1868">
        <f>IF('B.3.Comptes passés &amp; en cours'!C28=0,'B.3.Comptes passés &amp; en cours'!D28%,('B.3.Comptes passés &amp; en cours'!D28-'B.3.Comptes passés &amp; en cours'!C28)/'B.3.Comptes passés &amp; en cours'!C28)</f>
        <v>0</v>
      </c>
      <c r="M26" s="1869">
        <f>IF('B.3.Comptes passés &amp; en cours'!D28=0,'B.3.Comptes passés &amp; en cours'!E28%,('B.3.Comptes passés &amp; en cours'!E28-'B.3.Comptes passés &amp; en cours'!D28)/'B.3.Comptes passés &amp; en cours'!D28)</f>
        <v>0</v>
      </c>
      <c r="N26" s="1870">
        <f>IF('B.3.Comptes passés &amp; en cours'!E28=0,E26%,(E26-'B.3.Comptes passés &amp; en cours'!E28)/'B.3.Comptes passés &amp; en cours'!E28)</f>
        <v>0</v>
      </c>
      <c r="O26" s="1849"/>
      <c r="P26" s="1871"/>
      <c r="Q26" s="1871"/>
      <c r="R26" s="1851"/>
      <c r="S26" s="1746"/>
    </row>
    <row r="27" spans="1:20" ht="15.75" customHeight="1" x14ac:dyDescent="0.25">
      <c r="A27" s="12"/>
      <c r="B27" s="364" t="s">
        <v>276</v>
      </c>
      <c r="C27" s="9"/>
      <c r="D27" s="9"/>
      <c r="E27" s="452">
        <f>'B.3.Comptes passés &amp; en cours'!G70</f>
        <v>0</v>
      </c>
      <c r="F27" s="450">
        <f t="shared" si="6"/>
        <v>0</v>
      </c>
      <c r="G27" s="1145">
        <f t="shared" si="6"/>
        <v>0</v>
      </c>
      <c r="H27" s="450">
        <f t="shared" si="6"/>
        <v>0</v>
      </c>
      <c r="I27" s="1763">
        <f t="shared" si="6"/>
        <v>0</v>
      </c>
      <c r="J27" s="1778"/>
      <c r="K27" s="188"/>
      <c r="L27" s="1868">
        <f>IF('B.3.Comptes passés &amp; en cours'!C29=0,'B.3.Comptes passés &amp; en cours'!D29%,('B.3.Comptes passés &amp; en cours'!D29-'B.3.Comptes passés &amp; en cours'!C29)/'B.3.Comptes passés &amp; en cours'!C29)</f>
        <v>0</v>
      </c>
      <c r="M27" s="1869">
        <f>IF('B.3.Comptes passés &amp; en cours'!D29=0,'B.3.Comptes passés &amp; en cours'!E29%,('B.3.Comptes passés &amp; en cours'!E29-'B.3.Comptes passés &amp; en cours'!D29)/'B.3.Comptes passés &amp; en cours'!D29)</f>
        <v>0</v>
      </c>
      <c r="N27" s="1870">
        <f>IF('B.3.Comptes passés &amp; en cours'!E29=0,E27%,(E27-'B.3.Comptes passés &amp; en cours'!E29)/'B.3.Comptes passés &amp; en cours'!E29)</f>
        <v>0</v>
      </c>
      <c r="O27" s="1849"/>
      <c r="P27" s="1871"/>
      <c r="Q27" s="1871"/>
      <c r="R27" s="1851"/>
      <c r="S27" s="1746"/>
    </row>
    <row r="28" spans="1:20" ht="15.75" customHeight="1" x14ac:dyDescent="0.25">
      <c r="A28" s="12"/>
      <c r="B28" s="370" t="s">
        <v>98</v>
      </c>
      <c r="C28" s="388"/>
      <c r="D28" s="388"/>
      <c r="E28" s="474">
        <f>'B.3.Comptes passés &amp; en cours'!G71</f>
        <v>0</v>
      </c>
      <c r="F28" s="442">
        <f t="shared" si="6"/>
        <v>0</v>
      </c>
      <c r="G28" s="1735">
        <f t="shared" si="6"/>
        <v>0</v>
      </c>
      <c r="H28" s="442">
        <f t="shared" si="6"/>
        <v>0</v>
      </c>
      <c r="I28" s="1760">
        <f t="shared" si="6"/>
        <v>0</v>
      </c>
      <c r="J28" s="1776"/>
      <c r="K28" s="188"/>
      <c r="L28" s="1853">
        <f>IF('B.3.Comptes passés &amp; en cours'!C30=0,'B.3.Comptes passés &amp; en cours'!D30%,('B.3.Comptes passés &amp; en cours'!D30-'B.3.Comptes passés &amp; en cours'!C30)/'B.3.Comptes passés &amp; en cours'!C30)</f>
        <v>0</v>
      </c>
      <c r="M28" s="1854">
        <f>IF('B.3.Comptes passés &amp; en cours'!D30=0,'B.3.Comptes passés &amp; en cours'!E30%,('B.3.Comptes passés &amp; en cours'!E30-'B.3.Comptes passés &amp; en cours'!D30)/'B.3.Comptes passés &amp; en cours'!D30)</f>
        <v>0</v>
      </c>
      <c r="N28" s="1855">
        <f>IF('B.3.Comptes passés &amp; en cours'!E30=0,E28%,(E28-'B.3.Comptes passés &amp; en cours'!E30)/'B.3.Comptes passés &amp; en cours'!E30)</f>
        <v>0</v>
      </c>
      <c r="O28" s="1856"/>
      <c r="P28" s="1888"/>
      <c r="Q28" s="1888"/>
      <c r="R28" s="1858"/>
      <c r="S28" s="1746"/>
    </row>
    <row r="29" spans="1:20" ht="15.75" customHeight="1" x14ac:dyDescent="0.25">
      <c r="A29" s="83"/>
      <c r="B29" s="364" t="s">
        <v>445</v>
      </c>
      <c r="C29" s="9"/>
      <c r="D29" s="9"/>
      <c r="E29" s="452">
        <f>'B.3.Comptes passés &amp; en cours'!G72</f>
        <v>0</v>
      </c>
      <c r="F29" s="450">
        <f t="shared" si="6"/>
        <v>0</v>
      </c>
      <c r="G29" s="1145">
        <f t="shared" si="6"/>
        <v>0</v>
      </c>
      <c r="H29" s="450">
        <f t="shared" si="6"/>
        <v>0</v>
      </c>
      <c r="I29" s="1763">
        <f t="shared" si="6"/>
        <v>0</v>
      </c>
      <c r="J29" s="1778"/>
      <c r="K29" s="188"/>
      <c r="L29" s="1868">
        <f>IF('B.3.Comptes passés &amp; en cours'!C31=0,'B.3.Comptes passés &amp; en cours'!D31%,('B.3.Comptes passés &amp; en cours'!D31-'B.3.Comptes passés &amp; en cours'!C31)/'B.3.Comptes passés &amp; en cours'!C31)</f>
        <v>0</v>
      </c>
      <c r="M29" s="1869">
        <f>IF('B.3.Comptes passés &amp; en cours'!D31=0,'B.3.Comptes passés &amp; en cours'!E31%,('B.3.Comptes passés &amp; en cours'!E31-'B.3.Comptes passés &amp; en cours'!D31)/'B.3.Comptes passés &amp; en cours'!D31)</f>
        <v>0</v>
      </c>
      <c r="N29" s="1870">
        <f>IF('B.3.Comptes passés &amp; en cours'!E31=0,E29%,(E29-'B.3.Comptes passés &amp; en cours'!E31)/'B.3.Comptes passés &amp; en cours'!E31)</f>
        <v>0</v>
      </c>
      <c r="O29" s="1849"/>
      <c r="P29" s="1871"/>
      <c r="Q29" s="1871"/>
      <c r="R29" s="1851"/>
      <c r="S29" s="1746"/>
    </row>
    <row r="30" spans="1:20" ht="15.75" customHeight="1" x14ac:dyDescent="0.25">
      <c r="A30" s="83"/>
      <c r="B30" s="496" t="s">
        <v>356</v>
      </c>
      <c r="C30" s="497"/>
      <c r="D30" s="497"/>
      <c r="E30" s="452">
        <f>'9.Plan d''investissement'!I34</f>
        <v>0</v>
      </c>
      <c r="F30" s="556">
        <f>'9.Plan d''investissement'!J34</f>
        <v>0</v>
      </c>
      <c r="G30" s="1753">
        <f>'9.Plan d''investissement'!K34</f>
        <v>0</v>
      </c>
      <c r="H30" s="450">
        <f>G30*(1+Q30)</f>
        <v>0</v>
      </c>
      <c r="I30" s="1763">
        <f>H30*(1+R30)</f>
        <v>0</v>
      </c>
      <c r="J30" s="1778"/>
      <c r="K30" s="188"/>
      <c r="L30" s="1889"/>
      <c r="M30" s="1890"/>
      <c r="N30" s="1874"/>
      <c r="O30" s="1891" t="str">
        <f>IF((F30=0), "", ((F30-E30)/E30))</f>
        <v/>
      </c>
      <c r="P30" s="1892" t="str">
        <f>IF((G30=0), "", (G30-F30)/F30)</f>
        <v/>
      </c>
      <c r="Q30" s="1871"/>
      <c r="R30" s="1851"/>
      <c r="S30" s="1746"/>
    </row>
    <row r="31" spans="1:20" ht="15.75" customHeight="1" x14ac:dyDescent="0.25">
      <c r="B31" s="364" t="s">
        <v>278</v>
      </c>
      <c r="C31" s="9"/>
      <c r="D31" s="9"/>
      <c r="E31" s="459">
        <f>'B.3.Comptes passés &amp; en cours'!G73</f>
        <v>0</v>
      </c>
      <c r="F31" s="457">
        <f>E31*(1+O31)</f>
        <v>0</v>
      </c>
      <c r="G31" s="1752">
        <f>F31*(1+P31)</f>
        <v>0</v>
      </c>
      <c r="H31" s="457">
        <f>G31*(1+Q31)</f>
        <v>0</v>
      </c>
      <c r="I31" s="1765">
        <f>H31*(1+R31)</f>
        <v>0</v>
      </c>
      <c r="J31" s="1778"/>
      <c r="K31" s="188"/>
      <c r="L31" s="1868">
        <f>IF('B.3.Comptes passés &amp; en cours'!C32=0,'B.3.Comptes passés &amp; en cours'!D32%,('B.3.Comptes passés &amp; en cours'!D32-'B.3.Comptes passés &amp; en cours'!C32)/'B.3.Comptes passés &amp; en cours'!C32)</f>
        <v>0</v>
      </c>
      <c r="M31" s="1869">
        <f>IF('B.3.Comptes passés &amp; en cours'!D32=0,'B.3.Comptes passés &amp; en cours'!E32%,('B.3.Comptes passés &amp; en cours'!E32-'B.3.Comptes passés &amp; en cours'!D32)/'B.3.Comptes passés &amp; en cours'!D32)</f>
        <v>0</v>
      </c>
      <c r="N31" s="1870">
        <f>IF('B.3.Comptes passés &amp; en cours'!E32=0,E31%,(E31-'B.3.Comptes passés &amp; en cours'!E32)/'B.3.Comptes passés &amp; en cours'!E32)</f>
        <v>0</v>
      </c>
      <c r="O31" s="1849"/>
      <c r="P31" s="1871"/>
      <c r="Q31" s="1871"/>
      <c r="R31" s="1851"/>
      <c r="S31" s="1746"/>
    </row>
    <row r="32" spans="1:20" s="15" customFormat="1" ht="15.75" customHeight="1" x14ac:dyDescent="0.25">
      <c r="B32" s="1989" t="s">
        <v>279</v>
      </c>
      <c r="C32" s="1990"/>
      <c r="D32" s="2146"/>
      <c r="E32" s="458">
        <f>SUM(E22:E31)-E26-E28</f>
        <v>0</v>
      </c>
      <c r="F32" s="461">
        <f>SUM(F22:F31)-F26-F28</f>
        <v>0</v>
      </c>
      <c r="G32" s="1754">
        <f t="shared" ref="G32:I32" si="7">SUM(G22:G31)-G26-G28</f>
        <v>0</v>
      </c>
      <c r="H32" s="462">
        <f t="shared" si="7"/>
        <v>0</v>
      </c>
      <c r="I32" s="1767">
        <f t="shared" si="7"/>
        <v>0</v>
      </c>
      <c r="J32" s="1779"/>
      <c r="K32" s="1703"/>
      <c r="L32" s="1893">
        <f>IF('B.3.Comptes passés &amp; en cours'!C33=0,'B.3.Comptes passés &amp; en cours'!D33%,('B.3.Comptes passés &amp; en cours'!D33-'B.3.Comptes passés &amp; en cours'!C33)/'B.3.Comptes passés &amp; en cours'!C33)</f>
        <v>0</v>
      </c>
      <c r="M32" s="1894">
        <f>IF('B.3.Comptes passés &amp; en cours'!D33=0,'B.3.Comptes passés &amp; en cours'!E33%,('B.3.Comptes passés &amp; en cours'!E33-'B.3.Comptes passés &amp; en cours'!D33)/'B.3.Comptes passés &amp; en cours'!D33)</f>
        <v>0</v>
      </c>
      <c r="N32" s="1895">
        <f>IF('B.3.Comptes passés &amp; en cours'!E33=0,E32%,(E32-'B.3.Comptes passés &amp; en cours'!E33)/'B.3.Comptes passés &amp; en cours'!E33)</f>
        <v>0</v>
      </c>
      <c r="O32" s="1865">
        <f>IF(E32=0,F32%,(F32-E32)/E32)</f>
        <v>0</v>
      </c>
      <c r="P32" s="1896">
        <f>IF(F32=0,G32%,(G32-F32)/F32)</f>
        <v>0</v>
      </c>
      <c r="Q32" s="1896">
        <f>IF(G32=0,H32%,(H32-G32)/G32)</f>
        <v>0</v>
      </c>
      <c r="R32" s="1897">
        <f>IF(H32=0,I32%,(I32-H32)/H32)</f>
        <v>0</v>
      </c>
      <c r="S32" s="1747"/>
    </row>
    <row r="33" spans="1:26" s="15" customFormat="1" ht="15.75" customHeight="1" x14ac:dyDescent="0.25">
      <c r="A33" s="84"/>
      <c r="B33" s="363" t="s">
        <v>257</v>
      </c>
      <c r="C33" s="372"/>
      <c r="D33" s="372"/>
      <c r="E33" s="454">
        <f>'B.3.Comptes passés &amp; en cours'!G75</f>
        <v>0</v>
      </c>
      <c r="F33" s="450">
        <f t="shared" ref="F33:I35" si="8">E33*(1+O33)</f>
        <v>0</v>
      </c>
      <c r="G33" s="1145">
        <f t="shared" si="8"/>
        <v>0</v>
      </c>
      <c r="H33" s="450">
        <f t="shared" si="8"/>
        <v>0</v>
      </c>
      <c r="I33" s="1763">
        <f t="shared" si="8"/>
        <v>0</v>
      </c>
      <c r="J33" s="1778"/>
      <c r="K33" s="1703"/>
      <c r="L33" s="1868">
        <f>IF('B.3.Comptes passés &amp; en cours'!C34=0,'B.3.Comptes passés &amp; en cours'!D34%,('B.3.Comptes passés &amp; en cours'!D34-'B.3.Comptes passés &amp; en cours'!C34)/'B.3.Comptes passés &amp; en cours'!C34)</f>
        <v>0</v>
      </c>
      <c r="M33" s="1869">
        <f>IF('B.3.Comptes passés &amp; en cours'!D34=0,'B.3.Comptes passés &amp; en cours'!E34%,('B.3.Comptes passés &amp; en cours'!E34-'B.3.Comptes passés &amp; en cours'!D34)/'B.3.Comptes passés &amp; en cours'!D34)</f>
        <v>0</v>
      </c>
      <c r="N33" s="1870">
        <f>IF('B.3.Comptes passés &amp; en cours'!E34=0,E33%,(E33-'B.3.Comptes passés &amp; en cours'!E34)/'B.3.Comptes passés &amp; en cours'!E34)</f>
        <v>0</v>
      </c>
      <c r="O33" s="1849"/>
      <c r="P33" s="1871"/>
      <c r="Q33" s="1871"/>
      <c r="R33" s="1851"/>
      <c r="S33" s="1747"/>
    </row>
    <row r="34" spans="1:26" s="15" customFormat="1" ht="15.75" customHeight="1" x14ac:dyDescent="0.25">
      <c r="A34" s="84"/>
      <c r="B34" s="364" t="s">
        <v>259</v>
      </c>
      <c r="C34" s="9"/>
      <c r="D34" s="9"/>
      <c r="E34" s="455">
        <f>'B.3.Comptes passés &amp; en cours'!G76</f>
        <v>0</v>
      </c>
      <c r="F34" s="450">
        <f t="shared" si="8"/>
        <v>0</v>
      </c>
      <c r="G34" s="1145">
        <f t="shared" si="8"/>
        <v>0</v>
      </c>
      <c r="H34" s="450">
        <f t="shared" si="8"/>
        <v>0</v>
      </c>
      <c r="I34" s="1763">
        <f t="shared" si="8"/>
        <v>0</v>
      </c>
      <c r="J34" s="1778"/>
      <c r="K34" s="1703"/>
      <c r="L34" s="1868">
        <f>IF('B.3.Comptes passés &amp; en cours'!C35=0,'B.3.Comptes passés &amp; en cours'!D35%,('B.3.Comptes passés &amp; en cours'!D35-'B.3.Comptes passés &amp; en cours'!C35)/'B.3.Comptes passés &amp; en cours'!C35)</f>
        <v>0</v>
      </c>
      <c r="M34" s="1869">
        <f>IF('B.3.Comptes passés &amp; en cours'!D35=0,'B.3.Comptes passés &amp; en cours'!E35%,('B.3.Comptes passés &amp; en cours'!E35-'B.3.Comptes passés &amp; en cours'!D35)/'B.3.Comptes passés &amp; en cours'!D35)</f>
        <v>0</v>
      </c>
      <c r="N34" s="1870">
        <f>IF('B.3.Comptes passés &amp; en cours'!E35=0,E34%,(E34-'B.3.Comptes passés &amp; en cours'!E35)/'B.3.Comptes passés &amp; en cours'!E35)</f>
        <v>0</v>
      </c>
      <c r="O34" s="1849"/>
      <c r="P34" s="1871"/>
      <c r="Q34" s="1871"/>
      <c r="R34" s="1851"/>
      <c r="S34" s="1747"/>
    </row>
    <row r="35" spans="1:26" s="15" customFormat="1" ht="15.75" customHeight="1" x14ac:dyDescent="0.25">
      <c r="A35" s="84"/>
      <c r="B35" s="371" t="s">
        <v>9</v>
      </c>
      <c r="C35" s="82"/>
      <c r="D35" s="1140"/>
      <c r="E35" s="1141">
        <f>'B.3.Comptes passés &amp; en cours'!G77</f>
        <v>0</v>
      </c>
      <c r="F35" s="1142">
        <f t="shared" si="8"/>
        <v>0</v>
      </c>
      <c r="G35" s="1755">
        <f t="shared" si="8"/>
        <v>0</v>
      </c>
      <c r="H35" s="1143">
        <f t="shared" si="8"/>
        <v>0</v>
      </c>
      <c r="I35" s="1768">
        <f t="shared" si="8"/>
        <v>0</v>
      </c>
      <c r="J35" s="1778"/>
      <c r="K35" s="1703"/>
      <c r="L35" s="1868">
        <f>IF('B.3.Comptes passés &amp; en cours'!C36=0,'B.3.Comptes passés &amp; en cours'!D36%,('B.3.Comptes passés &amp; en cours'!D36-'B.3.Comptes passés &amp; en cours'!C36)/'B.3.Comptes passés &amp; en cours'!C36)</f>
        <v>0</v>
      </c>
      <c r="M35" s="1869">
        <f>IF('B.3.Comptes passés &amp; en cours'!D36=0,'B.3.Comptes passés &amp; en cours'!E36%,('B.3.Comptes passés &amp; en cours'!E36-'B.3.Comptes passés &amp; en cours'!D36)/'B.3.Comptes passés &amp; en cours'!D36)</f>
        <v>0</v>
      </c>
      <c r="N35" s="1870">
        <f>IF('B.3.Comptes passés &amp; en cours'!E36=0,E35%,(E35-'B.3.Comptes passés &amp; en cours'!E36)/'B.3.Comptes passés &amp; en cours'!E36)</f>
        <v>0</v>
      </c>
      <c r="O35" s="1849"/>
      <c r="P35" s="1871"/>
      <c r="Q35" s="1871"/>
      <c r="R35" s="1851"/>
      <c r="S35" s="1747"/>
    </row>
    <row r="36" spans="1:26" s="15" customFormat="1" ht="15.75" customHeight="1" x14ac:dyDescent="0.25">
      <c r="A36" s="82"/>
      <c r="B36" s="1989" t="s">
        <v>447</v>
      </c>
      <c r="C36" s="1990"/>
      <c r="D36" s="2139"/>
      <c r="E36" s="1146">
        <f>E32+E33+E34+E35</f>
        <v>0</v>
      </c>
      <c r="F36" s="1147">
        <f t="shared" ref="F36:I36" si="9">F32+F33+F34+F35</f>
        <v>0</v>
      </c>
      <c r="G36" s="1147">
        <f t="shared" si="9"/>
        <v>0</v>
      </c>
      <c r="H36" s="1732">
        <f t="shared" si="9"/>
        <v>0</v>
      </c>
      <c r="I36" s="1769">
        <f t="shared" si="9"/>
        <v>0</v>
      </c>
      <c r="J36" s="1780"/>
      <c r="K36" s="1703"/>
      <c r="L36" s="1868"/>
      <c r="M36" s="1869"/>
      <c r="N36" s="1880"/>
      <c r="O36" s="1898"/>
      <c r="P36" s="1899"/>
      <c r="Q36" s="1899"/>
      <c r="R36" s="1900"/>
      <c r="S36" s="1747"/>
    </row>
    <row r="37" spans="1:26" x14ac:dyDescent="0.25">
      <c r="B37" s="2133" t="s">
        <v>260</v>
      </c>
      <c r="C37" s="2134"/>
      <c r="D37" s="2135"/>
      <c r="E37" s="463">
        <f>E16-E32</f>
        <v>0</v>
      </c>
      <c r="F37" s="464">
        <f>F16-F32</f>
        <v>0</v>
      </c>
      <c r="G37" s="1756">
        <f>G16-G32</f>
        <v>0</v>
      </c>
      <c r="H37" s="464">
        <f>H16-H32</f>
        <v>0</v>
      </c>
      <c r="I37" s="1770">
        <f>I16-I32</f>
        <v>0</v>
      </c>
      <c r="J37" s="1781"/>
      <c r="K37" s="188"/>
      <c r="L37" s="1893">
        <f>IF('B.3.Comptes passés &amp; en cours'!C42=0,'B.3.Comptes passés &amp; en cours'!D42%,('B.3.Comptes passés &amp; en cours'!D42-'B.3.Comptes passés &amp; en cours'!C42)/'B.3.Comptes passés &amp; en cours'!C42)</f>
        <v>0</v>
      </c>
      <c r="M37" s="1894">
        <f>IF('B.3.Comptes passés &amp; en cours'!D42=0,'B.3.Comptes passés &amp; en cours'!E42%,('B.3.Comptes passés &amp; en cours'!E42-'B.3.Comptes passés &amp; en cours'!D42)/'B.3.Comptes passés &amp; en cours'!D42)</f>
        <v>0</v>
      </c>
      <c r="N37" s="1895">
        <f>IF('B.3.Comptes passés &amp; en cours'!E42=0,'7.Budgets prévisionnels'!E37%,('7.Budgets prévisionnels'!E37-'B.3.Comptes passés &amp; en cours'!E42)/'B.3.Comptes passés &amp; en cours'!E42)</f>
        <v>0</v>
      </c>
      <c r="O37" s="1864">
        <f t="shared" ref="O37:R38" si="10">IF(E37=0,F37%,(F37-E37)/E37)</f>
        <v>0</v>
      </c>
      <c r="P37" s="1864">
        <f t="shared" si="10"/>
        <v>0</v>
      </c>
      <c r="Q37" s="1864">
        <f t="shared" si="10"/>
        <v>0</v>
      </c>
      <c r="R37" s="1867">
        <f t="shared" si="10"/>
        <v>0</v>
      </c>
      <c r="S37" s="1746"/>
    </row>
    <row r="38" spans="1:26" x14ac:dyDescent="0.25">
      <c r="B38" s="2133" t="s">
        <v>123</v>
      </c>
      <c r="C38" s="2134"/>
      <c r="D38" s="2135"/>
      <c r="E38" s="1148">
        <f>E21-E36</f>
        <v>0</v>
      </c>
      <c r="F38" s="1149">
        <f t="shared" ref="F38:I38" si="11">F21-F36</f>
        <v>0</v>
      </c>
      <c r="G38" s="1149">
        <f t="shared" si="11"/>
        <v>0</v>
      </c>
      <c r="H38" s="1150">
        <f t="shared" si="11"/>
        <v>0</v>
      </c>
      <c r="I38" s="1771">
        <f t="shared" si="11"/>
        <v>0</v>
      </c>
      <c r="J38" s="1781"/>
      <c r="K38" s="188"/>
      <c r="L38" s="1901">
        <f>IF('B.3.Comptes passés &amp; en cours'!C43=0,'B.3.Comptes passés &amp; en cours'!D43%,('B.3.Comptes passés &amp; en cours'!D43-'B.3.Comptes passés &amp; en cours'!C43)/'B.3.Comptes passés &amp; en cours'!C43)</f>
        <v>0</v>
      </c>
      <c r="M38" s="1902">
        <f>IF('B.3.Comptes passés &amp; en cours'!D43=0,'B.3.Comptes passés &amp; en cours'!E43%,('B.3.Comptes passés &amp; en cours'!E43-'B.3.Comptes passés &amp; en cours'!D43)/'B.3.Comptes passés &amp; en cours'!D43)</f>
        <v>0</v>
      </c>
      <c r="N38" s="1895">
        <f>IF('B.3.Comptes passés &amp; en cours'!E43=0,'7.Budgets prévisionnels'!E38%,('7.Budgets prévisionnels'!E38-'B.3.Comptes passés &amp; en cours'!E43)/'B.3.Comptes passés &amp; en cours'!E43)</f>
        <v>0</v>
      </c>
      <c r="O38" s="1903">
        <f t="shared" si="10"/>
        <v>0</v>
      </c>
      <c r="P38" s="1903">
        <f t="shared" si="10"/>
        <v>0</v>
      </c>
      <c r="Q38" s="1903">
        <f t="shared" si="10"/>
        <v>0</v>
      </c>
      <c r="R38" s="1904">
        <f t="shared" si="10"/>
        <v>0</v>
      </c>
      <c r="S38" s="1746"/>
    </row>
    <row r="39" spans="1:26" x14ac:dyDescent="0.25">
      <c r="B39" s="61" t="s">
        <v>122</v>
      </c>
      <c r="C39" s="389"/>
      <c r="D39" s="389"/>
      <c r="E39" s="452">
        <f>'B.3.Comptes passés &amp; en cours'!G81</f>
        <v>0</v>
      </c>
      <c r="F39" s="468">
        <f t="shared" ref="F39:I41" si="12">E39*(1+O39)</f>
        <v>0</v>
      </c>
      <c r="G39" s="1145">
        <f t="shared" si="12"/>
        <v>0</v>
      </c>
      <c r="H39" s="1145">
        <f t="shared" si="12"/>
        <v>0</v>
      </c>
      <c r="I39" s="1763">
        <f t="shared" si="12"/>
        <v>0</v>
      </c>
      <c r="J39" s="1778"/>
      <c r="K39" s="188"/>
      <c r="L39" s="1868">
        <f>IF('B.3.Comptes passés &amp; en cours'!C44=0,'B.3.Comptes passés &amp; en cours'!D44%,('B.3.Comptes passés &amp; en cours'!D44-'B.3.Comptes passés &amp; en cours'!C44)/'B.3.Comptes passés &amp; en cours'!C44)</f>
        <v>0</v>
      </c>
      <c r="M39" s="1869">
        <f>IF('B.3.Comptes passés &amp; en cours'!D44=0,'B.3.Comptes passés &amp; en cours'!E44%,('B.3.Comptes passés &amp; en cours'!E44-'B.3.Comptes passés &amp; en cours'!D44)/'B.3.Comptes passés &amp; en cours'!D44)</f>
        <v>0</v>
      </c>
      <c r="N39" s="1870">
        <f>IF('B.3.Comptes passés &amp; en cours'!E37=0,E39%,(E39-'B.3.Comptes passés &amp; en cours'!E44)/'B.3.Comptes passés &amp; en cours'!E37)</f>
        <v>0</v>
      </c>
      <c r="O39" s="1905"/>
      <c r="P39" s="1856"/>
      <c r="Q39" s="1888"/>
      <c r="R39" s="1906"/>
      <c r="S39" s="1746"/>
    </row>
    <row r="40" spans="1:26" x14ac:dyDescent="0.25">
      <c r="B40" s="157" t="s">
        <v>99</v>
      </c>
      <c r="C40" s="367"/>
      <c r="D40" s="367"/>
      <c r="E40" s="453">
        <f>'B.3.Comptes passés &amp; en cours'!G82</f>
        <v>0</v>
      </c>
      <c r="F40" s="439">
        <f t="shared" si="12"/>
        <v>0</v>
      </c>
      <c r="G40" s="1735">
        <f t="shared" si="12"/>
        <v>0</v>
      </c>
      <c r="H40" s="442">
        <f t="shared" si="12"/>
        <v>0</v>
      </c>
      <c r="I40" s="1760">
        <f t="shared" si="12"/>
        <v>0</v>
      </c>
      <c r="J40" s="1776"/>
      <c r="K40" s="188"/>
      <c r="L40" s="1868">
        <f>IF('B.3.Comptes passés &amp; en cours'!C45=0,'B.3.Comptes passés &amp; en cours'!D45%,('B.3.Comptes passés &amp; en cours'!D45-'B.3.Comptes passés &amp; en cours'!C45)/'B.3.Comptes passés &amp; en cours'!C45)</f>
        <v>0</v>
      </c>
      <c r="M40" s="1869">
        <f>IF('B.3.Comptes passés &amp; en cours'!D45=0,'B.3.Comptes passés &amp; en cours'!E45%,('B.3.Comptes passés &amp; en cours'!E45-'B.3.Comptes passés &amp; en cours'!D45)/'B.3.Comptes passés &amp; en cours'!D45)</f>
        <v>0</v>
      </c>
      <c r="N40" s="1870">
        <f>IF('B.3.Comptes passés &amp; en cours'!E38=0,E40%,(E40-'B.3.Comptes passés &amp; en cours'!E38)/'B.3.Comptes passés &amp; en cours'!E38)</f>
        <v>0</v>
      </c>
      <c r="O40" s="1856"/>
      <c r="P40" s="1888"/>
      <c r="Q40" s="1888"/>
      <c r="R40" s="1858"/>
      <c r="S40" s="1746"/>
    </row>
    <row r="41" spans="1:26" ht="15" thickBot="1" x14ac:dyDescent="0.3">
      <c r="B41" s="93" t="s">
        <v>87</v>
      </c>
      <c r="C41" s="390"/>
      <c r="D41" s="390"/>
      <c r="E41" s="456">
        <f>'B.3.Comptes passés &amp; en cours'!G83</f>
        <v>0</v>
      </c>
      <c r="F41" s="472">
        <f t="shared" si="12"/>
        <v>0</v>
      </c>
      <c r="G41" s="1757">
        <f t="shared" si="12"/>
        <v>0</v>
      </c>
      <c r="H41" s="473">
        <f t="shared" si="12"/>
        <v>0</v>
      </c>
      <c r="I41" s="1772">
        <f t="shared" si="12"/>
        <v>0</v>
      </c>
      <c r="J41" s="1776"/>
      <c r="K41" s="188"/>
      <c r="L41" s="1878">
        <f>IF('B.3.Comptes passés &amp; en cours'!C46=0,'B.3.Comptes passés &amp; en cours'!D46%,('B.3.Comptes passés &amp; en cours'!D46-'B.3.Comptes passés &amp; en cours'!C46)/'B.3.Comptes passés &amp; en cours'!C46)</f>
        <v>0</v>
      </c>
      <c r="M41" s="1879">
        <f>IF('B.3.Comptes passés &amp; en cours'!D46=0,'B.3.Comptes passés &amp; en cours'!E46%,('B.3.Comptes passés &amp; en cours'!E46-'B.3.Comptes passés &amp; en cours'!D46)/'B.3.Comptes passés &amp; en cours'!D46)</f>
        <v>0</v>
      </c>
      <c r="N41" s="1907">
        <f>IF('B.3.Comptes passés &amp; en cours'!E39=0,E41%,(E41-'B.3.Comptes passés &amp; en cours'!E39)/'B.3.Comptes passés &amp; en cours'!E39)</f>
        <v>0</v>
      </c>
      <c r="O41" s="1908"/>
      <c r="P41" s="1909"/>
      <c r="Q41" s="1909"/>
      <c r="R41" s="1910"/>
      <c r="S41" s="1746"/>
    </row>
    <row r="44" spans="1:26" ht="23.25" x14ac:dyDescent="0.25">
      <c r="B44" s="2143" t="s">
        <v>328</v>
      </c>
      <c r="C44" s="2144"/>
      <c r="D44" s="2144"/>
      <c r="E44" s="2144"/>
      <c r="F44" s="2144"/>
      <c r="G44" s="2144"/>
      <c r="H44" s="2144"/>
      <c r="I44" s="2144"/>
      <c r="J44" s="2144"/>
      <c r="K44" s="2144"/>
      <c r="L44" s="2144"/>
      <c r="M44" s="2144"/>
      <c r="N44" s="2144"/>
      <c r="O44" s="2144"/>
      <c r="P44" s="2144"/>
      <c r="Q44" s="2144"/>
      <c r="R44" s="2144"/>
      <c r="S44" s="2145"/>
      <c r="T44" s="101"/>
      <c r="U44" s="101"/>
      <c r="V44" s="101"/>
      <c r="W44" s="269"/>
      <c r="X44" s="269"/>
      <c r="Y44" s="269"/>
      <c r="Z44" s="192"/>
    </row>
    <row r="45" spans="1:26" ht="139.5" customHeight="1" thickBot="1" x14ac:dyDescent="0.3">
      <c r="B45" s="2140"/>
      <c r="C45" s="2141"/>
      <c r="D45" s="2141"/>
      <c r="E45" s="2141"/>
      <c r="F45" s="2141"/>
      <c r="G45" s="2141"/>
      <c r="H45" s="2141"/>
      <c r="I45" s="2141"/>
      <c r="J45" s="2141"/>
      <c r="K45" s="2141"/>
      <c r="L45" s="2141"/>
      <c r="M45" s="2141"/>
      <c r="N45" s="2141"/>
      <c r="O45" s="2141"/>
      <c r="P45" s="2141"/>
      <c r="Q45" s="2141"/>
      <c r="R45" s="2141"/>
      <c r="S45" s="2142"/>
      <c r="T45" s="101"/>
      <c r="U45" s="101"/>
      <c r="V45" s="101"/>
      <c r="W45" s="269"/>
      <c r="X45" s="269"/>
      <c r="Y45" s="269"/>
      <c r="Z45" s="192"/>
    </row>
    <row r="46" spans="1:26" x14ac:dyDescent="0.25">
      <c r="B46" s="25"/>
      <c r="C46" s="25"/>
      <c r="D46" s="25"/>
      <c r="E46" s="25"/>
      <c r="F46" s="25"/>
      <c r="G46" s="25"/>
      <c r="H46" s="25"/>
      <c r="I46" s="25"/>
      <c r="J46" s="25"/>
      <c r="K46" s="25"/>
      <c r="L46" s="25"/>
      <c r="M46" s="25"/>
      <c r="N46" s="25"/>
      <c r="O46" s="25"/>
      <c r="P46" s="25"/>
      <c r="Q46" s="25"/>
      <c r="R46" s="25"/>
    </row>
  </sheetData>
  <sheetProtection password="CC57" sheet="1" objects="1" scenarios="1"/>
  <protectedRanges>
    <protectedRange sqref="Q7:R15 Q17:R18 Q20:R31 Q33:R36 Q39:R41" name="pourcentage supp"/>
    <protectedRange sqref="H7:I15 H17:I18 H20:I20 H22:I31 H33:I35 H39:I41" name="supp"/>
    <protectedRange sqref="O8:P15 O17:P18 O20:P29 O31:P31 O33:P36 O39:P41" name="Plage2"/>
    <protectedRange sqref="F9:G15 F17:G18 F19 F20:G20 F22:G29 F31:G31 F33:G35 F39:G41" name="Plage1"/>
    <protectedRange sqref="B45" name="Plage3"/>
  </protectedRanges>
  <mergeCells count="20">
    <mergeCell ref="B15:D15"/>
    <mergeCell ref="B16:D16"/>
    <mergeCell ref="B32:D32"/>
    <mergeCell ref="B2:J2"/>
    <mergeCell ref="L2:S2"/>
    <mergeCell ref="B4:S4"/>
    <mergeCell ref="B13:D13"/>
    <mergeCell ref="B14:D14"/>
    <mergeCell ref="B10:D10"/>
    <mergeCell ref="B11:D11"/>
    <mergeCell ref="B12:D12"/>
    <mergeCell ref="B7:D7"/>
    <mergeCell ref="B8:D8"/>
    <mergeCell ref="B9:D9"/>
    <mergeCell ref="B37:D37"/>
    <mergeCell ref="B38:D38"/>
    <mergeCell ref="B21:D21"/>
    <mergeCell ref="B36:D36"/>
    <mergeCell ref="B45:S45"/>
    <mergeCell ref="B44:S44"/>
  </mergeCells>
  <printOptions horizontalCentered="1"/>
  <pageMargins left="0.70866141732283472" right="0.70866141732283472" top="0.74803149606299213" bottom="0.74803149606299213" header="0.31496062992125984" footer="0.31496062992125984"/>
  <pageSetup paperSize="9" scale="70" orientation="landscape" r:id="rId1"/>
  <headerFooter>
    <oddHeader>&amp;R&amp;G</oddHeader>
  </headerFooter>
  <ignoredErrors>
    <ignoredError sqref="F16:I16 F32:I32" formula="1"/>
  </ignoredErrors>
  <drawing r:id="rId2"/>
  <legacyDrawing r:id="rId3"/>
  <legacyDrawingHF r:id="rId4"/>
  <controls>
    <mc:AlternateContent xmlns:mc="http://schemas.openxmlformats.org/markup-compatibility/2006">
      <mc:Choice Requires="x14">
        <control shapeId="39974" r:id="rId5" name="N4_5">
          <controlPr defaultSize="0" print="0" autoLine="0" r:id="rId6">
            <anchor moveWithCells="1">
              <from>
                <xdr:col>6</xdr:col>
                <xdr:colOff>152400</xdr:colOff>
                <xdr:row>0</xdr:row>
                <xdr:rowOff>95250</xdr:rowOff>
              </from>
              <to>
                <xdr:col>6</xdr:col>
                <xdr:colOff>561975</xdr:colOff>
                <xdr:row>1</xdr:row>
                <xdr:rowOff>276225</xdr:rowOff>
              </to>
            </anchor>
          </controlPr>
        </control>
      </mc:Choice>
      <mc:Fallback>
        <control shapeId="39974" r:id="rId5" name="N4_5"/>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25</vt:i4>
      </vt:variant>
    </vt:vector>
  </HeadingPairs>
  <TitlesOfParts>
    <vt:vector size="42" baseType="lpstr">
      <vt:lpstr>Liste déroulante</vt:lpstr>
      <vt:lpstr>Présentation de l'outil</vt:lpstr>
      <vt:lpstr>A.1.Présentation structure</vt:lpstr>
      <vt:lpstr>2.Données qualitatives</vt:lpstr>
      <vt:lpstr>B.3.Comptes passés &amp; en cours</vt:lpstr>
      <vt:lpstr>C.4.Répartition effectifs</vt:lpstr>
      <vt:lpstr>5.Analyse des effectifs</vt:lpstr>
      <vt:lpstr>6.Détails activités passés</vt:lpstr>
      <vt:lpstr>7.Budgets prévisionnels</vt:lpstr>
      <vt:lpstr>8.Détails activités prév.</vt:lpstr>
      <vt:lpstr>9.Plan d'investissement</vt:lpstr>
      <vt:lpstr>D.10.Synthèse éco&amp;fi</vt:lpstr>
      <vt:lpstr>D.10.Synthèse éco&amp;fi.</vt:lpstr>
      <vt:lpstr>Sources schémas</vt:lpstr>
      <vt:lpstr>11.Synthèse par activité</vt:lpstr>
      <vt:lpstr>12.Plan de financement</vt:lpstr>
      <vt:lpstr>Technique</vt:lpstr>
      <vt:lpstr>ChoixVer</vt:lpstr>
      <vt:lpstr>ChoixVerC</vt:lpstr>
      <vt:lpstr>ChoixverS</vt:lpstr>
      <vt:lpstr>Liste_ans</vt:lpstr>
      <vt:lpstr>Liste_DPT</vt:lpstr>
      <vt:lpstr>Liste_Fusion</vt:lpstr>
      <vt:lpstr>Liste_Reseau</vt:lpstr>
      <vt:lpstr>Liste_Restruc</vt:lpstr>
      <vt:lpstr>Masq_C7_2</vt:lpstr>
      <vt:lpstr>Masq_C71</vt:lpstr>
      <vt:lpstr>Masq_L0_1</vt:lpstr>
      <vt:lpstr>Masq_L0_2</vt:lpstr>
      <vt:lpstr>Masq_L0_3</vt:lpstr>
      <vt:lpstr>Masq_L4_1</vt:lpstr>
      <vt:lpstr>Masq_L4_2</vt:lpstr>
      <vt:lpstr>'11.Synthèse par activité'!Zone_d_impression</vt:lpstr>
      <vt:lpstr>'12.Plan de financement'!Zone_d_impression</vt:lpstr>
      <vt:lpstr>'6.Détails activités passés'!Zone_d_impression</vt:lpstr>
      <vt:lpstr>'7.Budgets prévisionnels'!Zone_d_impression</vt:lpstr>
      <vt:lpstr>'8.Détails activités prév.'!Zone_d_impression</vt:lpstr>
      <vt:lpstr>'B.3.Comptes passés &amp; en cours'!Zone_d_impression</vt:lpstr>
      <vt:lpstr>'C.4.Répartition effectifs'!Zone_d_impression</vt:lpstr>
      <vt:lpstr>'D.10.Synthèse éco&amp;fi'!Zone_d_impression</vt:lpstr>
      <vt:lpstr>'D.10.Synthèse éco&amp;fi.'!Zone_d_impression</vt:lpstr>
      <vt:lpstr>ZPW</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Geneviève NGUYEN</dc:creator>
  <cp:lastModifiedBy>*</cp:lastModifiedBy>
  <cp:lastPrinted>2012-12-20T14:11:57Z</cp:lastPrinted>
  <dcterms:created xsi:type="dcterms:W3CDTF">2009-08-17T15:17:21Z</dcterms:created>
  <dcterms:modified xsi:type="dcterms:W3CDTF">2017-04-14T09:07:35Z</dcterms:modified>
</cp:coreProperties>
</file>